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5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aitomakoto/斉藤計画事務所 Dropbox/再開発スクール/03_2022再開発スクール/03_配布教材/実技-Ⅰ/６/"/>
    </mc:Choice>
  </mc:AlternateContent>
  <xr:revisionPtr revIDLastSave="0" documentId="8_{57B132A0-3999-6F4B-B216-728DC031AE7F}" xr6:coauthVersionLast="47" xr6:coauthVersionMax="47" xr10:uidLastSave="{00000000-0000-0000-0000-000000000000}"/>
  <bookViews>
    <workbookView xWindow="7080" yWindow="5940" windowWidth="27900" windowHeight="16440" xr2:uid="{557DC750-8306-A743-8459-55462B605081}"/>
  </bookViews>
  <sheets>
    <sheet name="H29No.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31" i="1" l="1"/>
  <c r="O31" i="1"/>
  <c r="O25" i="1"/>
  <c r="M25" i="1"/>
  <c r="K25" i="1"/>
  <c r="G33" i="1" s="1"/>
  <c r="E16" i="1"/>
  <c r="Q15" i="1"/>
  <c r="E14" i="1"/>
  <c r="E13" i="1"/>
  <c r="O13" i="1" s="1"/>
  <c r="O23" i="1" s="1"/>
  <c r="O12" i="1"/>
  <c r="O22" i="1" s="1"/>
  <c r="M12" i="1"/>
  <c r="M22" i="1" s="1"/>
  <c r="K12" i="1"/>
  <c r="K22" i="1" s="1"/>
  <c r="E22" i="1" s="1"/>
  <c r="E12" i="1"/>
  <c r="E15" i="1" s="1"/>
  <c r="E10" i="1"/>
  <c r="I9" i="1"/>
  <c r="I11" i="1" s="1"/>
  <c r="E9" i="1"/>
  <c r="E11" i="1" s="1"/>
  <c r="E8" i="1"/>
  <c r="Q7" i="1"/>
  <c r="Q18" i="1" s="1"/>
  <c r="Q20" i="1" s="1"/>
  <c r="O7" i="1"/>
  <c r="I7" i="1"/>
  <c r="G7" i="1"/>
  <c r="G18" i="1" s="1"/>
  <c r="G20" i="1" s="1"/>
  <c r="G27" i="1" s="1"/>
  <c r="E6" i="1"/>
  <c r="O5" i="1"/>
  <c r="O21" i="1" s="1"/>
  <c r="O24" i="1" s="1"/>
  <c r="O26" i="1" s="1"/>
  <c r="M5" i="1"/>
  <c r="M7" i="1" s="1"/>
  <c r="K5" i="1"/>
  <c r="K21" i="1" s="1"/>
  <c r="I5" i="1"/>
  <c r="I21" i="1" s="1"/>
  <c r="E4" i="1"/>
  <c r="I24" i="1" l="1"/>
  <c r="I26" i="1" s="1"/>
  <c r="G29" i="1"/>
  <c r="G30" i="1" s="1"/>
  <c r="G31" i="1"/>
  <c r="M21" i="1"/>
  <c r="E21" i="1" s="1"/>
  <c r="E5" i="1"/>
  <c r="E7" i="1" s="1"/>
  <c r="K13" i="1"/>
  <c r="K23" i="1" s="1"/>
  <c r="K7" i="1"/>
  <c r="M13" i="1"/>
  <c r="M23" i="1" s="1"/>
  <c r="O15" i="1"/>
  <c r="I19" i="1" l="1"/>
  <c r="I17" i="1"/>
  <c r="M15" i="1"/>
  <c r="K15" i="1"/>
  <c r="E23" i="1"/>
  <c r="E24" i="1" s="1"/>
  <c r="E26" i="1" s="1"/>
  <c r="M24" i="1"/>
  <c r="M26" i="1" s="1"/>
  <c r="K24" i="1"/>
  <c r="K26" i="1" s="1"/>
  <c r="I18" i="1" l="1"/>
  <c r="I20" i="1" s="1"/>
  <c r="I27" i="1" s="1"/>
  <c r="I31" i="1" l="1"/>
  <c r="I29" i="1"/>
  <c r="I30" i="1" s="1"/>
  <c r="K28" i="1" s="1"/>
  <c r="K19" i="1" l="1"/>
  <c r="K17" i="1"/>
  <c r="K18" i="1" l="1"/>
  <c r="K20" i="1" s="1"/>
  <c r="K27" i="1" s="1"/>
  <c r="K29" i="1" l="1"/>
  <c r="K31" i="1"/>
  <c r="M19" i="1" l="1"/>
  <c r="M17" i="1"/>
  <c r="M18" i="1" l="1"/>
  <c r="M20" i="1" s="1"/>
  <c r="M27" i="1" s="1"/>
  <c r="M29" i="1" l="1"/>
  <c r="M30" i="1" s="1"/>
  <c r="O28" i="1" s="1"/>
  <c r="O29" i="1" s="1"/>
  <c r="M31" i="1"/>
  <c r="O17" i="1" l="1"/>
  <c r="O19" i="1"/>
  <c r="O18" i="1" l="1"/>
  <c r="O20" i="1" s="1"/>
  <c r="O30" i="1" s="1"/>
  <c r="Q28" i="1" s="1"/>
  <c r="Q29" i="1" s="1"/>
  <c r="Q30" i="1" s="1"/>
  <c r="E17" i="1"/>
  <c r="E18" i="1" s="1"/>
</calcChain>
</file>

<file path=xl/sharedStrings.xml><?xml version="1.0" encoding="utf-8"?>
<sst xmlns="http://schemas.openxmlformats.org/spreadsheetml/2006/main" count="128" uniqueCount="68">
  <si>
    <t xml:space="preserve"> 再開発スクール　実技H29NO.1　年度別資金計画表</t>
  </si>
  <si>
    <r>
      <rPr>
        <sz val="11"/>
        <color rgb="FF000000"/>
        <rFont val="Yu Gothic"/>
        <family val="2"/>
        <charset val="128"/>
      </rPr>
      <t>表</t>
    </r>
    <r>
      <rPr>
        <sz val="11"/>
        <color rgb="FF000000"/>
        <rFont val="Arial"/>
        <family val="2"/>
      </rPr>
      <t>4</t>
    </r>
    <r>
      <rPr>
        <sz val="11"/>
        <color rgb="FF000000"/>
        <rFont val="Yu Gothic"/>
        <family val="2"/>
        <charset val="128"/>
      </rPr>
      <t>　年度別資金計画</t>
    </r>
    <rPh sb="0" eb="1">
      <t>ヒョウ</t>
    </rPh>
    <rPh sb="3" eb="10">
      <t>ネンドベツシキンケイカク</t>
    </rPh>
    <phoneticPr fontId="3"/>
  </si>
  <si>
    <t>（単位：百万円）</t>
  </si>
  <si>
    <t>項 目</t>
  </si>
  <si>
    <t>合計</t>
  </si>
  <si>
    <t>初年度</t>
  </si>
  <si>
    <t>２年度</t>
  </si>
  <si>
    <t>３年度</t>
  </si>
  <si>
    <t>４年度</t>
  </si>
  <si>
    <t>５年度</t>
  </si>
  <si>
    <t>６年度</t>
  </si>
  <si>
    <t>支出</t>
  </si>
  <si>
    <t>調査設計計画費</t>
  </si>
  <si>
    <t>基本設計・基本設計費</t>
  </si>
  <si>
    <t>―</t>
  </si>
  <si>
    <t>建築設計費等(設計監理費を含む)</t>
  </si>
  <si>
    <t>⑬</t>
  </si>
  <si>
    <t>⑭</t>
  </si>
  <si>
    <t>その他調査設計計画費</t>
  </si>
  <si>
    <t>調査設計計画費 計</t>
  </si>
  <si>
    <t>土地整備費</t>
  </si>
  <si>
    <t>補償費</t>
  </si>
  <si>
    <t>法９１条補償費</t>
  </si>
  <si>
    <t>⑮</t>
  </si>
  <si>
    <t>法９７条補償費</t>
  </si>
  <si>
    <t>補償費 計</t>
  </si>
  <si>
    <t>工事費</t>
  </si>
  <si>
    <t>建築工事費(主体工事等)</t>
  </si>
  <si>
    <t>⑯</t>
  </si>
  <si>
    <t>⑰</t>
  </si>
  <si>
    <t>建築工事費(駐車場)</t>
  </si>
  <si>
    <t>⑱</t>
  </si>
  <si>
    <t>その他工事費</t>
  </si>
  <si>
    <t>工事費 計</t>
  </si>
  <si>
    <t>事務費</t>
  </si>
  <si>
    <t>借入金利息</t>
  </si>
  <si>
    <t>⑲</t>
  </si>
  <si>
    <t>⑳</t>
  </si>
  <si>
    <t>㉑</t>
  </si>
  <si>
    <t>小計</t>
  </si>
  <si>
    <t>借入金償還金（出題分（ロ）7より前年度末借入金残高を記載）</t>
  </si>
  <si>
    <t>㉓</t>
  </si>
  <si>
    <t>支出合計</t>
  </si>
  <si>
    <t>収入</t>
  </si>
  <si>
    <t>補助金</t>
  </si>
  <si>
    <t>㉔</t>
  </si>
  <si>
    <t>共同施設整備費(主体工事等)</t>
  </si>
  <si>
    <t>㉕</t>
  </si>
  <si>
    <t>㉖</t>
  </si>
  <si>
    <t>共同施設整備費(駐車場)</t>
  </si>
  <si>
    <t>㉗</t>
  </si>
  <si>
    <t>補助金 計</t>
  </si>
  <si>
    <t>保留床処分金</t>
  </si>
  <si>
    <t>㉘</t>
  </si>
  <si>
    <t>㉙</t>
  </si>
  <si>
    <t>㉚</t>
  </si>
  <si>
    <t>借入金</t>
  </si>
  <si>
    <t>㉛</t>
  </si>
  <si>
    <t>前年度繰越金</t>
  </si>
  <si>
    <t>㉜</t>
  </si>
  <si>
    <t>収入合計</t>
  </si>
  <si>
    <t>㉝</t>
  </si>
  <si>
    <t>次年度繰越金</t>
  </si>
  <si>
    <t>年度末借入金残高</t>
  </si>
  <si>
    <t>㉞</t>
  </si>
  <si>
    <t>床原価総額</t>
  </si>
  <si>
    <t>㉟</t>
  </si>
  <si>
    <t>百万円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</si>
</sst>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rgb="FF000000"/>
      <name val="Arial"/>
      <family val="2"/>
    </font>
    <font>
      <sz val="6"/>
      <name val="游ゴシック"/>
      <family val="2"/>
      <charset val="128"/>
      <scheme val="minor"/>
    </font>
    <font>
      <b/>
      <sz val="11"/>
      <color rgb="FF000000"/>
      <name val="Arial"/>
      <family val="2"/>
    </font>
    <font>
      <sz val="11"/>
      <color rgb="FF000000"/>
      <name val="Arial"/>
      <family val="2"/>
      <charset val="128"/>
    </font>
    <font>
      <sz val="11"/>
      <color rgb="FF000000"/>
      <name val="Yu Gothic"/>
      <family val="2"/>
      <charset val="128"/>
    </font>
    <font>
      <sz val="9"/>
      <color rgb="FF000000"/>
      <name val="Arial"/>
      <family val="2"/>
    </font>
    <font>
      <sz val="10"/>
      <name val="Arial"/>
      <family val="2"/>
    </font>
    <font>
      <b/>
      <sz val="11"/>
      <color rgb="FF000000"/>
      <name val="Century"/>
      <family val="1"/>
    </font>
    <font>
      <sz val="11"/>
      <color rgb="FF000000"/>
      <name val="Century"/>
      <family val="1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dotted">
        <color rgb="FF000000"/>
      </left>
      <right/>
      <top/>
      <bottom style="dotted">
        <color rgb="FF000000"/>
      </bottom>
      <diagonal/>
    </border>
    <border>
      <left style="thin">
        <color rgb="FF000000"/>
      </left>
      <right/>
      <top style="medium">
        <color rgb="FF000000"/>
      </top>
      <bottom style="dotted">
        <color rgb="FF000000"/>
      </bottom>
      <diagonal/>
    </border>
    <border>
      <left/>
      <right style="thin">
        <color rgb="FF000000"/>
      </right>
      <top/>
      <bottom style="dotted">
        <color rgb="FF000000"/>
      </bottom>
      <diagonal/>
    </border>
    <border>
      <left/>
      <right/>
      <top/>
      <bottom style="dotted">
        <color rgb="FF000000"/>
      </bottom>
      <diagonal/>
    </border>
    <border>
      <left/>
      <right style="thin">
        <color rgb="FF000000"/>
      </right>
      <top/>
      <bottom/>
      <diagonal/>
    </border>
    <border>
      <left style="dotted">
        <color rgb="FF000000"/>
      </left>
      <right/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/>
      <top style="dotted">
        <color rgb="FF000000"/>
      </top>
      <bottom style="dotted">
        <color rgb="FF000000"/>
      </bottom>
      <diagonal/>
    </border>
    <border>
      <left/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dotted">
        <color rgb="FF000000"/>
      </bottom>
      <diagonal/>
    </border>
    <border>
      <left/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/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dotted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05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/>
    <xf numFmtId="0" fontId="2" fillId="0" borderId="0" xfId="0" applyFont="1" applyAlignment="1"/>
    <xf numFmtId="0" fontId="4" fillId="0" borderId="0" xfId="0" applyFont="1" applyAlignment="1"/>
    <xf numFmtId="0" fontId="5" fillId="0" borderId="1" xfId="0" applyFont="1" applyBorder="1">
      <alignment vertical="center"/>
    </xf>
    <xf numFmtId="0" fontId="2" fillId="0" borderId="1" xfId="0" applyFont="1" applyBorder="1">
      <alignment vertical="center"/>
    </xf>
    <xf numFmtId="0" fontId="7" fillId="0" borderId="1" xfId="0" applyFont="1" applyBorder="1" applyAlignment="1">
      <alignment horizontal="right"/>
    </xf>
    <xf numFmtId="0" fontId="8" fillId="0" borderId="1" xfId="0" applyFont="1" applyBorder="1" applyAlignment="1"/>
    <xf numFmtId="0" fontId="7" fillId="0" borderId="2" xfId="0" applyFont="1" applyBorder="1" applyAlignment="1">
      <alignment horizontal="center" vertical="center"/>
    </xf>
    <xf numFmtId="0" fontId="8" fillId="0" borderId="3" xfId="0" applyFont="1" applyBorder="1">
      <alignment vertical="center"/>
    </xf>
    <xf numFmtId="0" fontId="8" fillId="0" borderId="4" xfId="0" applyFont="1" applyBorder="1">
      <alignment vertical="center"/>
    </xf>
    <xf numFmtId="0" fontId="7" fillId="0" borderId="5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8" fillId="0" borderId="7" xfId="0" applyFont="1" applyBorder="1">
      <alignment vertical="center"/>
    </xf>
    <xf numFmtId="0" fontId="7" fillId="0" borderId="8" xfId="0" applyFont="1" applyBorder="1" applyAlignment="1">
      <alignment horizontal="center" vertical="center" textRotation="255"/>
    </xf>
    <xf numFmtId="0" fontId="7" fillId="0" borderId="0" xfId="0" applyFont="1">
      <alignment vertical="center"/>
    </xf>
    <xf numFmtId="0" fontId="7" fillId="0" borderId="9" xfId="0" applyFont="1" applyBorder="1">
      <alignment vertical="center"/>
    </xf>
    <xf numFmtId="0" fontId="9" fillId="0" borderId="10" xfId="0" applyFont="1" applyBorder="1" applyAlignment="1">
      <alignment horizontal="right" vertical="center"/>
    </xf>
    <xf numFmtId="0" fontId="10" fillId="0" borderId="11" xfId="0" applyFont="1" applyBorder="1" applyAlignment="1">
      <alignment horizontal="right" vertical="center"/>
    </xf>
    <xf numFmtId="0" fontId="10" fillId="0" borderId="1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8" fillId="0" borderId="8" xfId="0" applyFont="1" applyBorder="1" applyAlignment="1"/>
    <xf numFmtId="0" fontId="7" fillId="0" borderId="14" xfId="0" applyFont="1" applyBorder="1">
      <alignment vertical="center"/>
    </xf>
    <xf numFmtId="0" fontId="10" fillId="0" borderId="15" xfId="0" applyFont="1" applyBorder="1" applyAlignment="1">
      <alignment horizontal="right" vertical="center"/>
    </xf>
    <xf numFmtId="0" fontId="9" fillId="0" borderId="16" xfId="0" applyFont="1" applyBorder="1" applyAlignment="1">
      <alignment horizontal="right" vertical="center"/>
    </xf>
    <xf numFmtId="0" fontId="10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right" vertical="center"/>
    </xf>
    <xf numFmtId="0" fontId="2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right" vertical="center"/>
    </xf>
    <xf numFmtId="0" fontId="9" fillId="0" borderId="17" xfId="0" applyFont="1" applyBorder="1" applyAlignment="1">
      <alignment horizontal="right" vertical="center"/>
    </xf>
    <xf numFmtId="0" fontId="2" fillId="0" borderId="16" xfId="0" applyFont="1" applyBorder="1" applyAlignment="1">
      <alignment horizontal="right" vertical="center"/>
    </xf>
    <xf numFmtId="0" fontId="9" fillId="0" borderId="15" xfId="0" applyFont="1" applyBorder="1" applyAlignment="1">
      <alignment horizontal="right" vertical="center"/>
    </xf>
    <xf numFmtId="0" fontId="10" fillId="0" borderId="16" xfId="0" applyFont="1" applyBorder="1" applyAlignment="1">
      <alignment horizontal="right" vertical="center"/>
    </xf>
    <xf numFmtId="0" fontId="9" fillId="0" borderId="12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7" fillId="0" borderId="1" xfId="0" applyFont="1" applyBorder="1">
      <alignment vertical="center"/>
    </xf>
    <xf numFmtId="0" fontId="10" fillId="0" borderId="20" xfId="0" applyFont="1" applyBorder="1" applyAlignment="1">
      <alignment horizontal="right" vertical="center"/>
    </xf>
    <xf numFmtId="0" fontId="9" fillId="0" borderId="21" xfId="0" applyFont="1" applyBorder="1" applyAlignment="1">
      <alignment horizontal="right" vertical="center"/>
    </xf>
    <xf numFmtId="0" fontId="10" fillId="0" borderId="1" xfId="0" applyFont="1" applyBorder="1" applyAlignment="1">
      <alignment horizontal="right" vertical="center"/>
    </xf>
    <xf numFmtId="0" fontId="10" fillId="0" borderId="21" xfId="0" applyFont="1" applyBorder="1" applyAlignment="1">
      <alignment horizontal="right" vertical="center"/>
    </xf>
    <xf numFmtId="0" fontId="9" fillId="0" borderId="22" xfId="0" applyFont="1" applyBorder="1" applyAlignment="1">
      <alignment horizontal="right" vertical="center"/>
    </xf>
    <xf numFmtId="0" fontId="10" fillId="0" borderId="23" xfId="0" applyFont="1" applyBorder="1" applyAlignment="1">
      <alignment horizontal="right" vertical="center"/>
    </xf>
    <xf numFmtId="0" fontId="10" fillId="0" borderId="1" xfId="0" applyFont="1" applyBorder="1" applyAlignment="1">
      <alignment horizontal="center" vertical="center"/>
    </xf>
    <xf numFmtId="0" fontId="2" fillId="0" borderId="21" xfId="0" applyFont="1" applyBorder="1" applyAlignment="1">
      <alignment horizontal="right" vertical="center"/>
    </xf>
    <xf numFmtId="3" fontId="10" fillId="0" borderId="24" xfId="0" applyNumberFormat="1" applyFont="1" applyBorder="1" applyAlignment="1">
      <alignment horizontal="right" vertical="center"/>
    </xf>
    <xf numFmtId="3" fontId="10" fillId="0" borderId="25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3" fontId="9" fillId="0" borderId="19" xfId="0" applyNumberFormat="1" applyFont="1" applyBorder="1" applyAlignment="1">
      <alignment horizontal="right" vertical="center"/>
    </xf>
    <xf numFmtId="3" fontId="10" fillId="0" borderId="20" xfId="0" applyNumberFormat="1" applyFont="1" applyBorder="1" applyAlignment="1">
      <alignment horizontal="right" vertical="center"/>
    </xf>
    <xf numFmtId="3" fontId="9" fillId="0" borderId="21" xfId="0" applyNumberFormat="1" applyFont="1" applyBorder="1" applyAlignment="1">
      <alignment horizontal="right" vertical="center"/>
    </xf>
    <xf numFmtId="3" fontId="9" fillId="0" borderId="0" xfId="0" applyNumberFormat="1" applyFont="1" applyAlignment="1">
      <alignment horizontal="right" vertical="center"/>
    </xf>
    <xf numFmtId="3" fontId="9" fillId="0" borderId="26" xfId="0" applyNumberFormat="1" applyFont="1" applyBorder="1" applyAlignment="1">
      <alignment horizontal="right" vertical="center"/>
    </xf>
    <xf numFmtId="0" fontId="2" fillId="0" borderId="27" xfId="0" applyFont="1" applyBorder="1" applyAlignment="1">
      <alignment horizontal="center" vertical="center"/>
    </xf>
    <xf numFmtId="0" fontId="9" fillId="0" borderId="11" xfId="0" applyFont="1" applyBorder="1" applyAlignment="1">
      <alignment horizontal="right" vertical="center"/>
    </xf>
    <xf numFmtId="0" fontId="9" fillId="0" borderId="23" xfId="0" applyFont="1" applyBorder="1" applyAlignment="1">
      <alignment horizontal="right" vertical="center"/>
    </xf>
    <xf numFmtId="0" fontId="10" fillId="0" borderId="13" xfId="0" applyFont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7" fillId="0" borderId="28" xfId="0" applyFont="1" applyBorder="1">
      <alignment vertical="center"/>
    </xf>
    <xf numFmtId="0" fontId="10" fillId="0" borderId="22" xfId="0" applyFont="1" applyBorder="1" applyAlignment="1">
      <alignment horizontal="right" vertical="center"/>
    </xf>
    <xf numFmtId="0" fontId="10" fillId="0" borderId="28" xfId="0" applyFont="1" applyBorder="1" applyAlignment="1">
      <alignment horizontal="center" vertical="center"/>
    </xf>
    <xf numFmtId="0" fontId="10" fillId="0" borderId="28" xfId="0" applyFont="1" applyBorder="1" applyAlignment="1">
      <alignment horizontal="right" vertical="center"/>
    </xf>
    <xf numFmtId="0" fontId="9" fillId="0" borderId="26" xfId="0" applyFont="1" applyBorder="1" applyAlignment="1">
      <alignment horizontal="right" vertical="center"/>
    </xf>
    <xf numFmtId="3" fontId="10" fillId="0" borderId="22" xfId="0" applyNumberFormat="1" applyFont="1" applyBorder="1" applyAlignment="1">
      <alignment horizontal="right" vertical="center"/>
    </xf>
    <xf numFmtId="3" fontId="9" fillId="0" borderId="23" xfId="0" applyNumberFormat="1" applyFont="1" applyBorder="1" applyAlignment="1">
      <alignment horizontal="right" vertical="center"/>
    </xf>
    <xf numFmtId="0" fontId="10" fillId="0" borderId="1" xfId="0" applyFont="1" applyBorder="1">
      <alignment vertical="center"/>
    </xf>
    <xf numFmtId="0" fontId="10" fillId="0" borderId="0" xfId="0" applyFont="1">
      <alignment vertical="center"/>
    </xf>
    <xf numFmtId="3" fontId="9" fillId="0" borderId="13" xfId="0" applyNumberFormat="1" applyFont="1" applyBorder="1" applyAlignment="1">
      <alignment horizontal="right" vertical="center"/>
    </xf>
    <xf numFmtId="0" fontId="7" fillId="0" borderId="1" xfId="0" applyFont="1" applyBorder="1">
      <alignment vertical="center"/>
    </xf>
    <xf numFmtId="0" fontId="10" fillId="0" borderId="22" xfId="0" applyFont="1" applyBorder="1">
      <alignment vertical="center"/>
    </xf>
    <xf numFmtId="3" fontId="10" fillId="0" borderId="21" xfId="0" applyNumberFormat="1" applyFont="1" applyBorder="1" applyAlignment="1">
      <alignment horizontal="right" vertical="center"/>
    </xf>
    <xf numFmtId="0" fontId="8" fillId="0" borderId="29" xfId="0" applyFont="1" applyBorder="1" applyAlignment="1"/>
    <xf numFmtId="0" fontId="10" fillId="0" borderId="24" xfId="0" applyFont="1" applyBorder="1" applyAlignment="1">
      <alignment horizontal="right" vertical="center"/>
    </xf>
    <xf numFmtId="0" fontId="9" fillId="0" borderId="25" xfId="0" applyFont="1" applyBorder="1" applyAlignment="1">
      <alignment horizontal="right" vertical="center"/>
    </xf>
    <xf numFmtId="0" fontId="9" fillId="0" borderId="13" xfId="0" applyFont="1" applyBorder="1" applyAlignment="1">
      <alignment horizontal="right" vertical="center"/>
    </xf>
    <xf numFmtId="3" fontId="10" fillId="0" borderId="15" xfId="0" applyNumberFormat="1" applyFont="1" applyBorder="1" applyAlignment="1">
      <alignment horizontal="right" vertical="center"/>
    </xf>
    <xf numFmtId="3" fontId="9" fillId="0" borderId="16" xfId="0" applyNumberFormat="1" applyFont="1" applyBorder="1" applyAlignment="1">
      <alignment horizontal="right" vertical="center"/>
    </xf>
    <xf numFmtId="0" fontId="10" fillId="0" borderId="30" xfId="0" applyFont="1" applyBorder="1" applyAlignment="1">
      <alignment horizontal="center" vertical="center"/>
    </xf>
    <xf numFmtId="3" fontId="9" fillId="0" borderId="30" xfId="0" applyNumberFormat="1" applyFont="1" applyBorder="1" applyAlignment="1">
      <alignment horizontal="right" vertical="center"/>
    </xf>
    <xf numFmtId="0" fontId="9" fillId="0" borderId="12" xfId="0" applyFont="1" applyBorder="1" applyAlignment="1">
      <alignment horizontal="right" vertical="center"/>
    </xf>
    <xf numFmtId="38" fontId="9" fillId="0" borderId="16" xfId="1" applyFont="1" applyBorder="1" applyAlignment="1">
      <alignment horizontal="right" vertical="center"/>
    </xf>
    <xf numFmtId="0" fontId="10" fillId="0" borderId="0" xfId="0" applyFont="1" applyAlignment="1">
      <alignment horizontal="right" vertical="center"/>
    </xf>
    <xf numFmtId="3" fontId="9" fillId="0" borderId="22" xfId="0" applyNumberFormat="1" applyFont="1" applyBorder="1" applyAlignment="1">
      <alignment horizontal="right" vertical="center"/>
    </xf>
    <xf numFmtId="3" fontId="10" fillId="0" borderId="23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23" xfId="0" applyFont="1" applyBorder="1" applyAlignment="1">
      <alignment horizontal="right" vertical="center"/>
    </xf>
    <xf numFmtId="0" fontId="10" fillId="0" borderId="5" xfId="0" applyFont="1" applyBorder="1" applyAlignment="1">
      <alignment horizontal="center" vertical="center"/>
    </xf>
    <xf numFmtId="3" fontId="10" fillId="0" borderId="31" xfId="0" applyNumberFormat="1" applyFont="1" applyBorder="1" applyAlignment="1">
      <alignment horizontal="right" vertical="center"/>
    </xf>
    <xf numFmtId="3" fontId="9" fillId="0" borderId="1" xfId="0" applyNumberFormat="1" applyFont="1" applyBorder="1" applyAlignment="1">
      <alignment horizontal="right" vertical="center"/>
    </xf>
    <xf numFmtId="3" fontId="11" fillId="0" borderId="19" xfId="0" applyNumberFormat="1" applyFont="1" applyBorder="1">
      <alignment vertical="center"/>
    </xf>
    <xf numFmtId="3" fontId="10" fillId="0" borderId="1" xfId="0" applyNumberFormat="1" applyFont="1" applyBorder="1" applyAlignment="1">
      <alignment horizontal="right" vertical="center"/>
    </xf>
    <xf numFmtId="0" fontId="7" fillId="0" borderId="22" xfId="0" applyFont="1" applyBorder="1" applyAlignment="1">
      <alignment horizontal="center" vertical="center"/>
    </xf>
    <xf numFmtId="0" fontId="8" fillId="0" borderId="28" xfId="0" applyFont="1" applyBorder="1" applyAlignment="1"/>
    <xf numFmtId="3" fontId="2" fillId="0" borderId="13" xfId="0" applyNumberFormat="1" applyFont="1" applyBorder="1" applyAlignment="1">
      <alignment horizontal="right" vertical="center"/>
    </xf>
    <xf numFmtId="0" fontId="7" fillId="0" borderId="20" xfId="0" applyFont="1" applyBorder="1" applyAlignment="1">
      <alignment horizontal="center" vertical="center"/>
    </xf>
    <xf numFmtId="0" fontId="2" fillId="0" borderId="18" xfId="0" applyFont="1" applyBorder="1">
      <alignment vertical="center"/>
    </xf>
    <xf numFmtId="0" fontId="7" fillId="0" borderId="0" xfId="0" applyFont="1" applyAlignment="1">
      <alignment horizontal="center" vertical="center"/>
    </xf>
    <xf numFmtId="0" fontId="7" fillId="0" borderId="28" xfId="0" applyFont="1" applyBorder="1" applyAlignment="1">
      <alignment horizontal="left" vertical="center"/>
    </xf>
    <xf numFmtId="0" fontId="8" fillId="0" borderId="23" xfId="0" applyFont="1" applyBorder="1" applyAlignment="1"/>
    <xf numFmtId="0" fontId="7" fillId="0" borderId="0" xfId="0" applyFont="1" applyAlignment="1"/>
    <xf numFmtId="0" fontId="12" fillId="0" borderId="0" xfId="0" applyFont="1" applyAlignment="1">
      <alignment horizontal="center" vertical="center"/>
    </xf>
    <xf numFmtId="0" fontId="0" fillId="0" borderId="0" xfId="0" applyAlignment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EFC0DB-364E-5E49-B30D-9C9174B0DB98}">
  <dimension ref="A1:R36"/>
  <sheetViews>
    <sheetView tabSelected="1" zoomScale="107" workbookViewId="0">
      <selection activeCell="K44" sqref="K44"/>
    </sheetView>
  </sheetViews>
  <sheetFormatPr baseColWidth="10" defaultColWidth="8.83203125" defaultRowHeight="18"/>
  <cols>
    <col min="1" max="1" width="5.6640625" customWidth="1"/>
    <col min="2" max="2" width="15.5" customWidth="1"/>
    <col min="3" max="3" width="28.6640625" customWidth="1"/>
    <col min="4" max="4" width="4.6640625" customWidth="1"/>
    <col min="5" max="5" width="14.6640625" customWidth="1"/>
    <col min="6" max="6" width="4.6640625" customWidth="1"/>
    <col min="7" max="7" width="14.6640625" customWidth="1"/>
    <col min="8" max="8" width="4.6640625" customWidth="1"/>
    <col min="9" max="9" width="14.6640625" customWidth="1"/>
    <col min="10" max="10" width="4.6640625" customWidth="1"/>
    <col min="11" max="11" width="14.6640625" customWidth="1"/>
    <col min="12" max="12" width="4.6640625" customWidth="1"/>
    <col min="13" max="13" width="14.6640625" customWidth="1"/>
    <col min="14" max="14" width="4.6640625" customWidth="1"/>
    <col min="15" max="15" width="15.33203125" customWidth="1"/>
    <col min="16" max="16" width="4.6640625" customWidth="1"/>
    <col min="17" max="17" width="14.6640625" customWidth="1"/>
  </cols>
  <sheetData>
    <row r="1" spans="1:18" ht="16" customHeight="1">
      <c r="A1" s="1" t="s">
        <v>0</v>
      </c>
      <c r="B1" s="2"/>
      <c r="C1" s="2"/>
      <c r="D1" s="3"/>
      <c r="E1" s="3"/>
      <c r="F1" s="3"/>
      <c r="G1" s="3"/>
      <c r="H1" s="3"/>
      <c r="I1" s="4"/>
      <c r="J1" s="3"/>
      <c r="K1" s="3"/>
      <c r="L1" s="3"/>
      <c r="M1" s="3"/>
      <c r="N1" s="3"/>
      <c r="O1" s="3"/>
      <c r="P1" s="3"/>
      <c r="Q1" s="3"/>
      <c r="R1" s="3"/>
    </row>
    <row r="2" spans="1:18" ht="16" customHeight="1">
      <c r="A2" s="5" t="s">
        <v>1</v>
      </c>
      <c r="B2" s="6"/>
      <c r="C2" s="6"/>
      <c r="D2" s="3"/>
      <c r="E2" s="3"/>
      <c r="F2" s="3"/>
      <c r="G2" s="3"/>
      <c r="H2" s="3"/>
      <c r="I2" s="3"/>
      <c r="J2" s="3"/>
      <c r="K2" s="3"/>
      <c r="L2" s="3"/>
      <c r="M2" s="3"/>
      <c r="N2" s="7" t="s">
        <v>2</v>
      </c>
      <c r="O2" s="8"/>
      <c r="P2" s="8"/>
      <c r="Q2" s="8"/>
      <c r="R2" s="3"/>
    </row>
    <row r="3" spans="1:18" ht="16" customHeight="1" thickBot="1">
      <c r="A3" s="9" t="s">
        <v>3</v>
      </c>
      <c r="B3" s="10"/>
      <c r="C3" s="11"/>
      <c r="D3" s="12"/>
      <c r="E3" s="13" t="s">
        <v>4</v>
      </c>
      <c r="F3" s="14" t="s">
        <v>5</v>
      </c>
      <c r="G3" s="15"/>
      <c r="H3" s="14" t="s">
        <v>6</v>
      </c>
      <c r="I3" s="15"/>
      <c r="J3" s="14" t="s">
        <v>7</v>
      </c>
      <c r="K3" s="15"/>
      <c r="L3" s="14" t="s">
        <v>8</v>
      </c>
      <c r="M3" s="15"/>
      <c r="N3" s="14" t="s">
        <v>9</v>
      </c>
      <c r="O3" s="15"/>
      <c r="P3" s="14" t="s">
        <v>10</v>
      </c>
      <c r="Q3" s="15"/>
      <c r="R3" s="3"/>
    </row>
    <row r="4" spans="1:18" ht="16" customHeight="1" thickBot="1">
      <c r="A4" s="16" t="s">
        <v>11</v>
      </c>
      <c r="B4" s="17" t="s">
        <v>12</v>
      </c>
      <c r="C4" s="18" t="s">
        <v>13</v>
      </c>
      <c r="D4" s="19"/>
      <c r="E4" s="20">
        <f>G4</f>
        <v>150</v>
      </c>
      <c r="F4" s="21"/>
      <c r="G4" s="20">
        <v>150</v>
      </c>
      <c r="H4" s="22"/>
      <c r="I4" s="23" t="s">
        <v>14</v>
      </c>
      <c r="J4" s="21"/>
      <c r="K4" s="24" t="s">
        <v>14</v>
      </c>
      <c r="L4" s="22"/>
      <c r="M4" s="23" t="s">
        <v>14</v>
      </c>
      <c r="N4" s="21"/>
      <c r="O4" s="24" t="s">
        <v>14</v>
      </c>
      <c r="P4" s="21"/>
      <c r="Q4" s="24" t="s">
        <v>14</v>
      </c>
      <c r="R4" s="3"/>
    </row>
    <row r="5" spans="1:18" ht="16" customHeight="1" thickTop="1" thickBot="1">
      <c r="A5" s="25"/>
      <c r="B5" s="17"/>
      <c r="C5" s="26" t="s">
        <v>15</v>
      </c>
      <c r="D5" s="27"/>
      <c r="E5" s="28">
        <f>I5+K5+M5+O5</f>
        <v>574</v>
      </c>
      <c r="F5" s="29"/>
      <c r="G5" s="30" t="s">
        <v>14</v>
      </c>
      <c r="H5" s="31" t="s">
        <v>16</v>
      </c>
      <c r="I5" s="32">
        <f>ROUND(19000*3.02/100*70/100,0)</f>
        <v>402</v>
      </c>
      <c r="J5" s="29"/>
      <c r="K5" s="33">
        <f>ROUND(19000*3.02/100*30/100*9.33/100,0)</f>
        <v>16</v>
      </c>
      <c r="L5" s="31" t="s">
        <v>17</v>
      </c>
      <c r="M5" s="32">
        <f>ROUND(19000*3.02/100*30/100*41.14/100,0)</f>
        <v>71</v>
      </c>
      <c r="N5" s="29"/>
      <c r="O5" s="28">
        <f>ROUND(19000*3.02/100*30/100*49.53/100,0)</f>
        <v>85</v>
      </c>
      <c r="P5" s="29"/>
      <c r="Q5" s="34" t="s">
        <v>14</v>
      </c>
      <c r="R5" s="3"/>
    </row>
    <row r="6" spans="1:18" ht="16" customHeight="1" thickTop="1">
      <c r="A6" s="25"/>
      <c r="B6" s="17"/>
      <c r="C6" s="26" t="s">
        <v>18</v>
      </c>
      <c r="D6" s="35"/>
      <c r="E6" s="28">
        <f>G6+I6+K6+M6+O6+Q6</f>
        <v>195</v>
      </c>
      <c r="F6" s="29"/>
      <c r="G6" s="36">
        <v>30</v>
      </c>
      <c r="H6" s="21"/>
      <c r="I6" s="20">
        <v>120</v>
      </c>
      <c r="J6" s="29"/>
      <c r="K6" s="36">
        <v>10</v>
      </c>
      <c r="L6" s="37"/>
      <c r="M6" s="20">
        <v>10</v>
      </c>
      <c r="N6" s="38"/>
      <c r="O6" s="36">
        <v>10</v>
      </c>
      <c r="P6" s="38"/>
      <c r="Q6" s="36">
        <v>15</v>
      </c>
      <c r="R6" s="3"/>
    </row>
    <row r="7" spans="1:18" ht="16" customHeight="1">
      <c r="A7" s="25"/>
      <c r="B7" s="39"/>
      <c r="C7" s="39" t="s">
        <v>19</v>
      </c>
      <c r="D7" s="40"/>
      <c r="E7" s="41">
        <f>SUM(E4:E6)</f>
        <v>919</v>
      </c>
      <c r="F7" s="42"/>
      <c r="G7" s="43">
        <f>SUM(G4:G6)</f>
        <v>180</v>
      </c>
      <c r="H7" s="42"/>
      <c r="I7" s="41">
        <f>SUM(I4:I6)</f>
        <v>522</v>
      </c>
      <c r="J7" s="42"/>
      <c r="K7" s="41">
        <f>SUM(K4:K6)</f>
        <v>26</v>
      </c>
      <c r="L7" s="42"/>
      <c r="M7" s="41">
        <f>SUM(M4:M6)</f>
        <v>81</v>
      </c>
      <c r="N7" s="42"/>
      <c r="O7" s="41">
        <f>SUM(O4:O6)</f>
        <v>95</v>
      </c>
      <c r="P7" s="42"/>
      <c r="Q7" s="41">
        <f>SUM(Q4:Q6)</f>
        <v>15</v>
      </c>
      <c r="R7" s="3"/>
    </row>
    <row r="8" spans="1:18" ht="16" customHeight="1" thickBot="1">
      <c r="A8" s="25"/>
      <c r="B8" s="39" t="s">
        <v>20</v>
      </c>
      <c r="C8" s="39"/>
      <c r="D8" s="44"/>
      <c r="E8" s="45">
        <f>K8</f>
        <v>600</v>
      </c>
      <c r="F8" s="46"/>
      <c r="G8" s="47" t="s">
        <v>14</v>
      </c>
      <c r="H8" s="22"/>
      <c r="I8" s="23" t="s">
        <v>14</v>
      </c>
      <c r="J8" s="46"/>
      <c r="K8" s="43">
        <v>600</v>
      </c>
      <c r="L8" s="46"/>
      <c r="M8" s="47" t="s">
        <v>14</v>
      </c>
      <c r="N8" s="46"/>
      <c r="O8" s="47" t="s">
        <v>14</v>
      </c>
      <c r="P8" s="46"/>
      <c r="Q8" s="47" t="s">
        <v>14</v>
      </c>
      <c r="R8" s="3"/>
    </row>
    <row r="9" spans="1:18" ht="16" customHeight="1" thickTop="1" thickBot="1">
      <c r="A9" s="25"/>
      <c r="B9" s="17" t="s">
        <v>21</v>
      </c>
      <c r="C9" s="18" t="s">
        <v>22</v>
      </c>
      <c r="D9" s="48"/>
      <c r="E9" s="49">
        <f>I9</f>
        <v>1663</v>
      </c>
      <c r="F9" s="21"/>
      <c r="G9" s="50" t="s">
        <v>14</v>
      </c>
      <c r="H9" s="31" t="s">
        <v>23</v>
      </c>
      <c r="I9" s="51">
        <f>ROUND(1644*101/100,0)+ROUND(1644*101/100*6/100*10/365,0)</f>
        <v>1663</v>
      </c>
      <c r="J9" s="21"/>
      <c r="K9" s="24" t="s">
        <v>14</v>
      </c>
      <c r="L9" s="21"/>
      <c r="M9" s="24" t="s">
        <v>14</v>
      </c>
      <c r="N9" s="21"/>
      <c r="O9" s="24" t="s">
        <v>14</v>
      </c>
      <c r="P9" s="21"/>
      <c r="Q9" s="24" t="s">
        <v>14</v>
      </c>
      <c r="R9" s="3"/>
    </row>
    <row r="10" spans="1:18" ht="16" customHeight="1" thickTop="1">
      <c r="A10" s="25"/>
      <c r="B10" s="17"/>
      <c r="C10" s="26" t="s">
        <v>24</v>
      </c>
      <c r="D10" s="27"/>
      <c r="E10" s="36">
        <f>I10</f>
        <v>400</v>
      </c>
      <c r="F10" s="29"/>
      <c r="G10" s="34" t="s">
        <v>14</v>
      </c>
      <c r="H10" s="21"/>
      <c r="I10" s="20">
        <v>400</v>
      </c>
      <c r="J10" s="29"/>
      <c r="K10" s="34" t="s">
        <v>14</v>
      </c>
      <c r="L10" s="29"/>
      <c r="M10" s="34" t="s">
        <v>14</v>
      </c>
      <c r="N10" s="29"/>
      <c r="O10" s="34" t="s">
        <v>14</v>
      </c>
      <c r="P10" s="29"/>
      <c r="Q10" s="34" t="s">
        <v>14</v>
      </c>
      <c r="R10" s="3"/>
    </row>
    <row r="11" spans="1:18" ht="16" customHeight="1" thickBot="1">
      <c r="A11" s="25"/>
      <c r="B11" s="39"/>
      <c r="C11" s="39" t="s">
        <v>25</v>
      </c>
      <c r="D11" s="52"/>
      <c r="E11" s="53">
        <f>SUM(E9:E10)</f>
        <v>2063</v>
      </c>
      <c r="F11" s="46"/>
      <c r="G11" s="47" t="s">
        <v>14</v>
      </c>
      <c r="H11" s="46"/>
      <c r="I11" s="53">
        <f>SUM(I9+I10)</f>
        <v>2063</v>
      </c>
      <c r="J11" s="46"/>
      <c r="K11" s="47" t="s">
        <v>14</v>
      </c>
      <c r="L11" s="22"/>
      <c r="M11" s="23" t="s">
        <v>14</v>
      </c>
      <c r="N11" s="22"/>
      <c r="O11" s="23" t="s">
        <v>14</v>
      </c>
      <c r="P11" s="46"/>
      <c r="Q11" s="47" t="s">
        <v>14</v>
      </c>
      <c r="R11" s="3"/>
    </row>
    <row r="12" spans="1:18" ht="16" customHeight="1" thickTop="1" thickBot="1">
      <c r="A12" s="25"/>
      <c r="B12" s="17" t="s">
        <v>26</v>
      </c>
      <c r="C12" s="18" t="s">
        <v>27</v>
      </c>
      <c r="D12" s="48"/>
      <c r="E12" s="49">
        <f>19000-E13</f>
        <v>18430</v>
      </c>
      <c r="F12" s="21"/>
      <c r="G12" s="24" t="s">
        <v>14</v>
      </c>
      <c r="H12" s="21"/>
      <c r="I12" s="24" t="s">
        <v>14</v>
      </c>
      <c r="J12" s="22"/>
      <c r="K12" s="54">
        <f>ROUND((19000-570)*9/100,0)</f>
        <v>1659</v>
      </c>
      <c r="L12" s="31" t="s">
        <v>28</v>
      </c>
      <c r="M12" s="55">
        <f>ROUND((19000-570)*40/100,0)</f>
        <v>7372</v>
      </c>
      <c r="N12" s="56" t="s">
        <v>29</v>
      </c>
      <c r="O12" s="51">
        <f>ROUND((19000-570)*51/100,0)</f>
        <v>9399</v>
      </c>
      <c r="P12" s="21"/>
      <c r="Q12" s="24" t="s">
        <v>14</v>
      </c>
      <c r="R12" s="3"/>
    </row>
    <row r="13" spans="1:18" ht="16" customHeight="1" thickTop="1" thickBot="1">
      <c r="A13" s="25"/>
      <c r="B13" s="17"/>
      <c r="C13" s="26" t="s">
        <v>30</v>
      </c>
      <c r="D13" s="27"/>
      <c r="E13" s="28">
        <f>19000*3/100</f>
        <v>570</v>
      </c>
      <c r="F13" s="29"/>
      <c r="G13" s="34" t="s">
        <v>14</v>
      </c>
      <c r="H13" s="29"/>
      <c r="I13" s="30" t="s">
        <v>14</v>
      </c>
      <c r="J13" s="31" t="s">
        <v>31</v>
      </c>
      <c r="K13" s="32">
        <f>E13*20/100</f>
        <v>114</v>
      </c>
      <c r="L13" s="21"/>
      <c r="M13" s="57">
        <f>ROUND(E13*78/100,0)</f>
        <v>445</v>
      </c>
      <c r="N13" s="21"/>
      <c r="O13" s="57">
        <f>ROUND(E13*2/100,0)</f>
        <v>11</v>
      </c>
      <c r="P13" s="29"/>
      <c r="Q13" s="34" t="s">
        <v>14</v>
      </c>
      <c r="R13" s="3"/>
    </row>
    <row r="14" spans="1:18" ht="16" customHeight="1" thickTop="1">
      <c r="A14" s="25"/>
      <c r="B14" s="17"/>
      <c r="C14" s="26" t="s">
        <v>32</v>
      </c>
      <c r="D14" s="35"/>
      <c r="E14" s="28">
        <f>K14+M14+O14</f>
        <v>450</v>
      </c>
      <c r="F14" s="29"/>
      <c r="G14" s="34" t="s">
        <v>14</v>
      </c>
      <c r="H14" s="29"/>
      <c r="I14" s="34" t="s">
        <v>14</v>
      </c>
      <c r="J14" s="21"/>
      <c r="K14" s="20">
        <v>200</v>
      </c>
      <c r="L14" s="29"/>
      <c r="M14" s="36">
        <v>100</v>
      </c>
      <c r="N14" s="38"/>
      <c r="O14" s="36">
        <v>150</v>
      </c>
      <c r="P14" s="29"/>
      <c r="Q14" s="34" t="s">
        <v>14</v>
      </c>
      <c r="R14" s="3"/>
    </row>
    <row r="15" spans="1:18" ht="16" customHeight="1">
      <c r="A15" s="25"/>
      <c r="B15" s="39"/>
      <c r="C15" s="39" t="s">
        <v>33</v>
      </c>
      <c r="D15" s="52"/>
      <c r="E15" s="53">
        <f>SUM(E12:E14)</f>
        <v>19450</v>
      </c>
      <c r="F15" s="46"/>
      <c r="G15" s="47" t="s">
        <v>14</v>
      </c>
      <c r="H15" s="46"/>
      <c r="I15" s="47" t="s">
        <v>14</v>
      </c>
      <c r="J15" s="46"/>
      <c r="K15" s="53">
        <f>SUM(K12:K14)</f>
        <v>1973</v>
      </c>
      <c r="L15" s="42"/>
      <c r="M15" s="53">
        <f>SUM(M12:M14)</f>
        <v>7917</v>
      </c>
      <c r="N15" s="42"/>
      <c r="O15" s="53">
        <f>SUM(O12:O14)</f>
        <v>9560</v>
      </c>
      <c r="P15" s="42"/>
      <c r="Q15" s="43">
        <f>SUM(Q12:Q14)</f>
        <v>0</v>
      </c>
      <c r="R15" s="3"/>
    </row>
    <row r="16" spans="1:18" ht="16" customHeight="1" thickBot="1">
      <c r="A16" s="25"/>
      <c r="B16" s="17" t="s">
        <v>34</v>
      </c>
      <c r="C16" s="17"/>
      <c r="D16" s="44"/>
      <c r="E16" s="58">
        <f>G16+I16+K16+M16+O16+Q16</f>
        <v>170</v>
      </c>
      <c r="F16" s="22"/>
      <c r="G16" s="59">
        <v>30</v>
      </c>
      <c r="H16" s="22"/>
      <c r="I16" s="59">
        <v>30</v>
      </c>
      <c r="J16" s="22"/>
      <c r="K16" s="59">
        <v>30</v>
      </c>
      <c r="L16" s="22"/>
      <c r="M16" s="59">
        <v>30</v>
      </c>
      <c r="N16" s="60"/>
      <c r="O16" s="59">
        <v>30</v>
      </c>
      <c r="P16" s="60"/>
      <c r="Q16" s="59">
        <v>20</v>
      </c>
      <c r="R16" s="3"/>
    </row>
    <row r="17" spans="1:18" ht="16" customHeight="1" thickTop="1" thickBot="1">
      <c r="A17" s="25"/>
      <c r="B17" s="61" t="s">
        <v>35</v>
      </c>
      <c r="C17" s="61"/>
      <c r="D17" s="62"/>
      <c r="E17" s="58">
        <f>G17+I17+K17+M17+O17+Q17</f>
        <v>103</v>
      </c>
      <c r="F17" s="63"/>
      <c r="G17" s="64">
        <v>0</v>
      </c>
      <c r="H17" s="31" t="s">
        <v>36</v>
      </c>
      <c r="I17" s="32">
        <f>ROUND(G31*1.2/100,0)</f>
        <v>3</v>
      </c>
      <c r="J17" s="63"/>
      <c r="K17" s="64">
        <f>ROUND(I31*1.2/100,0)</f>
        <v>31</v>
      </c>
      <c r="L17" s="31" t="s">
        <v>37</v>
      </c>
      <c r="M17" s="65">
        <f>ROUND(K31*1.5/100,0)</f>
        <v>46</v>
      </c>
      <c r="N17" s="56" t="s">
        <v>38</v>
      </c>
      <c r="O17" s="32">
        <f>ROUND(M31*1.5/100,0)</f>
        <v>23</v>
      </c>
      <c r="P17" s="63"/>
      <c r="Q17" s="58">
        <v>0</v>
      </c>
      <c r="R17" s="3"/>
    </row>
    <row r="18" spans="1:18" ht="16" customHeight="1" thickTop="1" thickBot="1">
      <c r="A18" s="25"/>
      <c r="B18" s="39" t="s">
        <v>39</v>
      </c>
      <c r="C18" s="39"/>
      <c r="D18" s="66"/>
      <c r="E18" s="67">
        <f>E7+E8+E11+E15+E16+E17</f>
        <v>23305</v>
      </c>
      <c r="F18" s="46"/>
      <c r="G18" s="43">
        <f>SUM(G7+G16+G17)</f>
        <v>210</v>
      </c>
      <c r="H18" s="68"/>
      <c r="I18" s="53">
        <f>SUM(I7+I11+I16+I17)</f>
        <v>2618</v>
      </c>
      <c r="J18" s="69"/>
      <c r="K18" s="70">
        <f>SUM(K7+K8+K15+K16+K17)</f>
        <v>2660</v>
      </c>
      <c r="L18" s="68"/>
      <c r="M18" s="53">
        <f>SUM(M7+M15+M16+M17)</f>
        <v>8074</v>
      </c>
      <c r="N18" s="68"/>
      <c r="O18" s="53">
        <f>SUM(O7+O15+O16+O17)</f>
        <v>9708</v>
      </c>
      <c r="P18" s="68"/>
      <c r="Q18" s="41">
        <f>SUM(Q7+Q16+Q17)</f>
        <v>35</v>
      </c>
      <c r="R18" s="3"/>
    </row>
    <row r="19" spans="1:18" ht="16" customHeight="1" thickTop="1" thickBot="1">
      <c r="A19" s="25"/>
      <c r="B19" s="71" t="s">
        <v>40</v>
      </c>
      <c r="C19" s="8"/>
      <c r="D19" s="72"/>
      <c r="E19" s="47" t="s">
        <v>14</v>
      </c>
      <c r="F19" s="46"/>
      <c r="G19" s="47" t="s">
        <v>14</v>
      </c>
      <c r="H19" s="46"/>
      <c r="I19" s="42">
        <f>G31</f>
        <v>210</v>
      </c>
      <c r="J19" s="31" t="s">
        <v>41</v>
      </c>
      <c r="K19" s="51">
        <f>I31</f>
        <v>2560</v>
      </c>
      <c r="L19" s="46"/>
      <c r="M19" s="73">
        <f>K31</f>
        <v>3042</v>
      </c>
      <c r="N19" s="46"/>
      <c r="O19" s="73">
        <f>M31</f>
        <v>1541</v>
      </c>
      <c r="P19" s="46"/>
      <c r="Q19" s="41">
        <v>0</v>
      </c>
      <c r="R19" s="3"/>
    </row>
    <row r="20" spans="1:18" ht="16" customHeight="1" thickTop="1" thickBot="1">
      <c r="A20" s="74"/>
      <c r="B20" s="39" t="s">
        <v>42</v>
      </c>
      <c r="C20" s="39"/>
      <c r="D20" s="72"/>
      <c r="E20" s="47" t="s">
        <v>14</v>
      </c>
      <c r="F20" s="46"/>
      <c r="G20" s="43">
        <f>G18</f>
        <v>210</v>
      </c>
      <c r="H20" s="22"/>
      <c r="I20" s="70">
        <f>I18+I19</f>
        <v>2828</v>
      </c>
      <c r="J20" s="46"/>
      <c r="K20" s="53">
        <f>K18+K19</f>
        <v>5220</v>
      </c>
      <c r="L20" s="46"/>
      <c r="M20" s="53">
        <f>M18+M19</f>
        <v>11116</v>
      </c>
      <c r="N20" s="46"/>
      <c r="O20" s="53">
        <f>O18+O19</f>
        <v>11249</v>
      </c>
      <c r="P20" s="46"/>
      <c r="Q20" s="41">
        <f>Q18+Q19</f>
        <v>35</v>
      </c>
      <c r="R20" s="3"/>
    </row>
    <row r="21" spans="1:18" ht="16" customHeight="1" thickTop="1" thickBot="1">
      <c r="A21" s="16" t="s">
        <v>43</v>
      </c>
      <c r="B21" s="17" t="s">
        <v>44</v>
      </c>
      <c r="C21" s="18" t="s">
        <v>15</v>
      </c>
      <c r="D21" s="75"/>
      <c r="E21" s="76">
        <f>I21+K21+M21+O21</f>
        <v>383</v>
      </c>
      <c r="F21" s="21"/>
      <c r="G21" s="50" t="s">
        <v>14</v>
      </c>
      <c r="H21" s="31" t="s">
        <v>45</v>
      </c>
      <c r="I21" s="32">
        <f>I5*2/3</f>
        <v>268</v>
      </c>
      <c r="J21" s="22"/>
      <c r="K21" s="77">
        <f>ROUND(K5*2/3,0)</f>
        <v>11</v>
      </c>
      <c r="L21" s="21"/>
      <c r="M21" s="57">
        <f>ROUND(M5*2/3,0)</f>
        <v>47</v>
      </c>
      <c r="N21" s="22"/>
      <c r="O21" s="77">
        <f>ROUND(O5*2/3,0)</f>
        <v>57</v>
      </c>
      <c r="P21" s="21"/>
      <c r="Q21" s="24" t="s">
        <v>14</v>
      </c>
      <c r="R21" s="3"/>
    </row>
    <row r="22" spans="1:18" ht="16" customHeight="1" thickTop="1" thickBot="1">
      <c r="A22" s="25"/>
      <c r="B22" s="17"/>
      <c r="C22" s="26" t="s">
        <v>46</v>
      </c>
      <c r="D22" s="78"/>
      <c r="E22" s="79">
        <f>K22+M22+O22</f>
        <v>3809</v>
      </c>
      <c r="F22" s="29"/>
      <c r="G22" s="34" t="s">
        <v>14</v>
      </c>
      <c r="H22" s="21"/>
      <c r="I22" s="50" t="s">
        <v>14</v>
      </c>
      <c r="J22" s="31" t="s">
        <v>47</v>
      </c>
      <c r="K22" s="32">
        <f>ROUND(K12*31/100*2/3,0)</f>
        <v>343</v>
      </c>
      <c r="L22" s="80"/>
      <c r="M22" s="81">
        <f>ROUND(M12*31/100*2/3,0)</f>
        <v>1524</v>
      </c>
      <c r="N22" s="31" t="s">
        <v>48</v>
      </c>
      <c r="O22" s="51">
        <f>ROUND(O12*31/100*2/3,0)</f>
        <v>1942</v>
      </c>
      <c r="P22" s="29"/>
      <c r="Q22" s="34" t="s">
        <v>14</v>
      </c>
      <c r="R22" s="3"/>
    </row>
    <row r="23" spans="1:18" ht="16" customHeight="1" thickTop="1" thickBot="1">
      <c r="A23" s="25"/>
      <c r="B23" s="17"/>
      <c r="C23" s="26" t="s">
        <v>49</v>
      </c>
      <c r="D23" s="27"/>
      <c r="E23" s="28">
        <f>K23+M23+O23</f>
        <v>380</v>
      </c>
      <c r="F23" s="29"/>
      <c r="G23" s="34" t="s">
        <v>14</v>
      </c>
      <c r="H23" s="29"/>
      <c r="I23" s="34" t="s">
        <v>14</v>
      </c>
      <c r="J23" s="21"/>
      <c r="K23" s="82">
        <f>ROUND(K13*2/3,0)</f>
        <v>76</v>
      </c>
      <c r="L23" s="31" t="s">
        <v>50</v>
      </c>
      <c r="M23" s="32">
        <f>ROUND(M13*2/3,0)</f>
        <v>297</v>
      </c>
      <c r="N23" s="21"/>
      <c r="O23" s="57">
        <f>ROUND(O13*2/3,0)</f>
        <v>7</v>
      </c>
      <c r="P23" s="29"/>
      <c r="Q23" s="34" t="s">
        <v>14</v>
      </c>
      <c r="R23" s="3"/>
    </row>
    <row r="24" spans="1:18" ht="16" customHeight="1" thickTop="1" thickBot="1">
      <c r="A24" s="25"/>
      <c r="B24" s="39"/>
      <c r="C24" s="39" t="s">
        <v>51</v>
      </c>
      <c r="D24" s="52"/>
      <c r="E24" s="83">
        <f>SUM(E21:E23)</f>
        <v>4572</v>
      </c>
      <c r="F24" s="46"/>
      <c r="G24" s="47" t="s">
        <v>14</v>
      </c>
      <c r="H24" s="46"/>
      <c r="I24" s="43">
        <f>I21</f>
        <v>268</v>
      </c>
      <c r="J24" s="22"/>
      <c r="K24" s="77">
        <f>SUM(K21:K23)</f>
        <v>430</v>
      </c>
      <c r="L24" s="46"/>
      <c r="M24" s="53">
        <f>SUM(M21:M23)</f>
        <v>1868</v>
      </c>
      <c r="N24" s="84"/>
      <c r="O24" s="70">
        <f>SUM(O21:O23)</f>
        <v>2006</v>
      </c>
      <c r="P24" s="46"/>
      <c r="Q24" s="47" t="s">
        <v>14</v>
      </c>
      <c r="R24" s="3"/>
    </row>
    <row r="25" spans="1:18" ht="16" customHeight="1" thickTop="1" thickBot="1">
      <c r="A25" s="25"/>
      <c r="B25" s="17" t="s">
        <v>52</v>
      </c>
      <c r="C25" s="17"/>
      <c r="D25" s="85"/>
      <c r="E25" s="86">
        <v>18733</v>
      </c>
      <c r="F25" s="22"/>
      <c r="G25" s="23" t="s">
        <v>14</v>
      </c>
      <c r="H25" s="22"/>
      <c r="I25" s="87" t="s">
        <v>14</v>
      </c>
      <c r="J25" s="31" t="s">
        <v>53</v>
      </c>
      <c r="K25" s="51">
        <f>ROUND(E25*9.33/100,0)</f>
        <v>1748</v>
      </c>
      <c r="L25" s="22"/>
      <c r="M25" s="54">
        <f>ROUND(E25*41.14/100,0)</f>
        <v>7707</v>
      </c>
      <c r="N25" s="31" t="s">
        <v>54</v>
      </c>
      <c r="O25" s="51">
        <f>ROUND(E25*49.53/100,0)</f>
        <v>9278</v>
      </c>
      <c r="P25" s="22"/>
      <c r="Q25" s="59">
        <v>0</v>
      </c>
      <c r="R25" s="3"/>
    </row>
    <row r="26" spans="1:18" ht="16" customHeight="1" thickTop="1" thickBot="1">
      <c r="A26" s="25"/>
      <c r="B26" s="61" t="s">
        <v>39</v>
      </c>
      <c r="C26" s="61"/>
      <c r="D26" s="66"/>
      <c r="E26" s="67">
        <f>E24+E25</f>
        <v>23305</v>
      </c>
      <c r="F26" s="63"/>
      <c r="G26" s="88" t="s">
        <v>14</v>
      </c>
      <c r="H26" s="89"/>
      <c r="I26" s="90">
        <f>I24</f>
        <v>268</v>
      </c>
      <c r="J26" s="46"/>
      <c r="K26" s="91">
        <f>K24+K25</f>
        <v>2178</v>
      </c>
      <c r="L26" s="31" t="s">
        <v>55</v>
      </c>
      <c r="M26" s="51">
        <f>M24+M25</f>
        <v>9575</v>
      </c>
      <c r="N26" s="42"/>
      <c r="O26" s="53">
        <f>O24+O25</f>
        <v>11284</v>
      </c>
      <c r="P26" s="63"/>
      <c r="Q26" s="45">
        <v>0</v>
      </c>
      <c r="R26" s="3"/>
    </row>
    <row r="27" spans="1:18" ht="16" customHeight="1" thickTop="1" thickBot="1">
      <c r="A27" s="25"/>
      <c r="B27" s="39" t="s">
        <v>56</v>
      </c>
      <c r="C27" s="39"/>
      <c r="D27" s="72"/>
      <c r="E27" s="47" t="s">
        <v>14</v>
      </c>
      <c r="F27" s="46"/>
      <c r="G27" s="42">
        <f>G20-0</f>
        <v>210</v>
      </c>
      <c r="H27" s="31" t="s">
        <v>57</v>
      </c>
      <c r="I27" s="92">
        <f>I20-I26</f>
        <v>2560</v>
      </c>
      <c r="J27" s="46"/>
      <c r="K27" s="53">
        <f>K20-K26</f>
        <v>3042</v>
      </c>
      <c r="L27" s="46"/>
      <c r="M27" s="53">
        <f>M20-M26</f>
        <v>1541</v>
      </c>
      <c r="N27" s="63"/>
      <c r="O27" s="45">
        <v>0</v>
      </c>
      <c r="P27" s="22"/>
      <c r="Q27" s="59">
        <v>0</v>
      </c>
      <c r="R27" s="3"/>
    </row>
    <row r="28" spans="1:18" ht="16" customHeight="1" thickTop="1" thickBot="1">
      <c r="A28" s="25"/>
      <c r="B28" s="39" t="s">
        <v>58</v>
      </c>
      <c r="C28" s="39"/>
      <c r="D28" s="72"/>
      <c r="E28" s="47" t="s">
        <v>14</v>
      </c>
      <c r="F28" s="46"/>
      <c r="G28" s="43">
        <v>0</v>
      </c>
      <c r="H28" s="22"/>
      <c r="I28" s="59">
        <v>0</v>
      </c>
      <c r="J28" s="46"/>
      <c r="K28" s="73">
        <f>I30</f>
        <v>0</v>
      </c>
      <c r="L28" s="46"/>
      <c r="M28" s="43">
        <v>0</v>
      </c>
      <c r="N28" s="46"/>
      <c r="O28" s="93">
        <f>M30</f>
        <v>0</v>
      </c>
      <c r="P28" s="31" t="s">
        <v>59</v>
      </c>
      <c r="Q28" s="51">
        <f>O30</f>
        <v>35</v>
      </c>
      <c r="R28" s="3"/>
    </row>
    <row r="29" spans="1:18" ht="16" customHeight="1" thickTop="1" thickBot="1">
      <c r="A29" s="74"/>
      <c r="B29" s="39" t="s">
        <v>60</v>
      </c>
      <c r="C29" s="39"/>
      <c r="D29" s="72"/>
      <c r="E29" s="47" t="s">
        <v>14</v>
      </c>
      <c r="F29" s="46"/>
      <c r="G29" s="42">
        <f>G27</f>
        <v>210</v>
      </c>
      <c r="H29" s="31" t="s">
        <v>61</v>
      </c>
      <c r="I29" s="51">
        <f>I26+I27</f>
        <v>2828</v>
      </c>
      <c r="J29" s="46"/>
      <c r="K29" s="53">
        <f>SUM(K26:K28)</f>
        <v>5220</v>
      </c>
      <c r="L29" s="46"/>
      <c r="M29" s="53">
        <f>M26+M27-M28</f>
        <v>11116</v>
      </c>
      <c r="N29" s="46"/>
      <c r="O29" s="73">
        <f>SUM(O26:O28)</f>
        <v>11284</v>
      </c>
      <c r="P29" s="46"/>
      <c r="Q29" s="41">
        <f>SUM(Q25:Q28)</f>
        <v>35</v>
      </c>
      <c r="R29" s="3"/>
    </row>
    <row r="30" spans="1:18" ht="16" customHeight="1" thickTop="1" thickBot="1">
      <c r="A30" s="94" t="s">
        <v>62</v>
      </c>
      <c r="B30" s="95"/>
      <c r="C30" s="39"/>
      <c r="D30" s="72"/>
      <c r="E30" s="47" t="s">
        <v>14</v>
      </c>
      <c r="F30" s="46"/>
      <c r="G30" s="43">
        <f>G29-G20</f>
        <v>0</v>
      </c>
      <c r="H30" s="46"/>
      <c r="I30" s="53">
        <f>I29-I20</f>
        <v>0</v>
      </c>
      <c r="J30" s="46"/>
      <c r="K30" s="43">
        <v>0</v>
      </c>
      <c r="L30" s="22"/>
      <c r="M30" s="96">
        <f>M29-M20</f>
        <v>0</v>
      </c>
      <c r="N30" s="46"/>
      <c r="O30" s="53">
        <f>O29-O20</f>
        <v>35</v>
      </c>
      <c r="P30" s="46"/>
      <c r="Q30" s="41">
        <f>Q29-Q20</f>
        <v>0</v>
      </c>
      <c r="R30" s="3"/>
    </row>
    <row r="31" spans="1:18" ht="16" customHeight="1" thickTop="1" thickBot="1">
      <c r="A31" s="97" t="s">
        <v>63</v>
      </c>
      <c r="B31" s="8"/>
      <c r="C31" s="39"/>
      <c r="D31" s="72"/>
      <c r="E31" s="47" t="s">
        <v>14</v>
      </c>
      <c r="F31" s="46"/>
      <c r="G31" s="43">
        <f>G27</f>
        <v>210</v>
      </c>
      <c r="H31" s="68"/>
      <c r="I31" s="73">
        <f>I27</f>
        <v>2560</v>
      </c>
      <c r="J31" s="68"/>
      <c r="K31" s="91">
        <f>I31-K19+K27</f>
        <v>3042</v>
      </c>
      <c r="L31" s="98" t="s">
        <v>64</v>
      </c>
      <c r="M31" s="51">
        <f>K31-M19+M27</f>
        <v>1541</v>
      </c>
      <c r="N31" s="68"/>
      <c r="O31" s="43">
        <f>O27</f>
        <v>0</v>
      </c>
      <c r="P31" s="68"/>
      <c r="Q31" s="43">
        <f>Q27</f>
        <v>0</v>
      </c>
      <c r="R31" s="3"/>
    </row>
    <row r="32" spans="1:18" ht="16" customHeight="1" thickTop="1" thickBot="1">
      <c r="A32" s="99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3"/>
    </row>
    <row r="33" spans="1:18" ht="16" customHeight="1" thickTop="1" thickBot="1">
      <c r="A33" s="94" t="s">
        <v>65</v>
      </c>
      <c r="B33" s="95"/>
      <c r="C33" s="61"/>
      <c r="D33" s="61"/>
      <c r="E33" s="61"/>
      <c r="F33" s="31" t="s">
        <v>66</v>
      </c>
      <c r="G33" s="51">
        <f>(4840+960-1644)+(K25+M25+O25)</f>
        <v>22889</v>
      </c>
      <c r="H33" s="100" t="s">
        <v>67</v>
      </c>
      <c r="I33" s="101"/>
      <c r="J33" s="17"/>
      <c r="K33" s="17"/>
      <c r="L33" s="17"/>
      <c r="M33" s="17"/>
      <c r="N33" s="17"/>
      <c r="O33" s="17"/>
      <c r="P33" s="17"/>
      <c r="Q33" s="17"/>
      <c r="R33" s="3"/>
    </row>
    <row r="34" spans="1:18" ht="16" customHeight="1" thickTop="1">
      <c r="A34" s="99"/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3"/>
    </row>
    <row r="35" spans="1:18" ht="16" customHeight="1">
      <c r="A35" s="103"/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</row>
    <row r="36" spans="1:18">
      <c r="A36" s="103"/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</row>
  </sheetData>
  <mergeCells count="17">
    <mergeCell ref="H33:I33"/>
    <mergeCell ref="A4:A20"/>
    <mergeCell ref="B19:C19"/>
    <mergeCell ref="A21:A29"/>
    <mergeCell ref="A30:B30"/>
    <mergeCell ref="A31:B31"/>
    <mergeCell ref="A33:B33"/>
    <mergeCell ref="A1:C1"/>
    <mergeCell ref="A2:C2"/>
    <mergeCell ref="N2:Q2"/>
    <mergeCell ref="A3:C3"/>
    <mergeCell ref="F3:G3"/>
    <mergeCell ref="H3:I3"/>
    <mergeCell ref="J3:K3"/>
    <mergeCell ref="L3:M3"/>
    <mergeCell ref="N3:O3"/>
    <mergeCell ref="P3:Q3"/>
  </mergeCells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H29No.1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2022-04-04T01:41:31Z</dcterms:created>
  <dcterms:modified xsi:type="dcterms:W3CDTF">2022-04-04T01:41:59Z</dcterms:modified>
</cp:coreProperties>
</file>