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itomakoto/斉藤計画事務所 Dropbox/再開発スクール/01_2020再開発スクール/300講義テキスト2020/11_実技Ⅰ/04_エクセル データ/"/>
    </mc:Choice>
  </mc:AlternateContent>
  <xr:revisionPtr revIDLastSave="0" documentId="13_ncr:1_{E31C10DE-F388-1446-BB8E-BE3D5C509D8F}" xr6:coauthVersionLast="47" xr6:coauthVersionMax="47" xr10:uidLastSave="{00000000-0000-0000-0000-000000000000}"/>
  <bookViews>
    <workbookView xWindow="9840" yWindow="1000" windowWidth="43020" windowHeight="25760" activeTab="4" xr2:uid="{7CBAEA6C-04F6-42BD-95BE-CF56DFCA4950}"/>
  </bookViews>
  <sheets>
    <sheet name="H24No.2手順" sheetId="4" r:id="rId1"/>
    <sheet name="H26No.2手順" sheetId="2" r:id="rId2"/>
    <sheet name="H27No.1手順" sheetId="5" r:id="rId3"/>
    <sheet name="H28NO.1手順" sheetId="6" r:id="rId4"/>
    <sheet name="H29No.1手順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7" l="1"/>
  <c r="O80" i="7"/>
  <c r="M80" i="7"/>
  <c r="K80" i="7"/>
  <c r="Q78" i="7"/>
  <c r="O78" i="7"/>
  <c r="K76" i="7"/>
  <c r="G76" i="7"/>
  <c r="C76" i="7"/>
  <c r="C75" i="7"/>
  <c r="I74" i="7"/>
  <c r="C74" i="7"/>
  <c r="C78" i="7" s="1"/>
  <c r="C79" i="7" s="1"/>
  <c r="Q72" i="7"/>
  <c r="G72" i="7"/>
  <c r="Q70" i="7"/>
  <c r="Q61" i="7"/>
  <c r="Q80" i="7" s="1"/>
  <c r="O61" i="7"/>
  <c r="O86" i="7" s="1"/>
  <c r="O55" i="7"/>
  <c r="O76" i="7" s="1"/>
  <c r="M55" i="7"/>
  <c r="M76" i="7" s="1"/>
  <c r="K55" i="7"/>
  <c r="M52" i="7"/>
  <c r="M72" i="7" s="1"/>
  <c r="K52" i="7"/>
  <c r="K72" i="7" s="1"/>
  <c r="O51" i="7"/>
  <c r="Q49" i="7"/>
  <c r="Q48" i="7"/>
  <c r="Q50" i="7" s="1"/>
  <c r="Q20" i="7" s="1"/>
  <c r="G48" i="7"/>
  <c r="G50" i="7" s="1"/>
  <c r="Q47" i="7"/>
  <c r="Q14" i="7" s="1"/>
  <c r="E46" i="7"/>
  <c r="Q45" i="7"/>
  <c r="M45" i="7"/>
  <c r="M18" i="7" s="1"/>
  <c r="E44" i="7"/>
  <c r="M43" i="7"/>
  <c r="M53" i="7" s="1"/>
  <c r="M74" i="7" s="1"/>
  <c r="K43" i="7"/>
  <c r="K53" i="7" s="1"/>
  <c r="E43" i="7"/>
  <c r="E45" i="7" s="1"/>
  <c r="O42" i="7"/>
  <c r="O52" i="7" s="1"/>
  <c r="O72" i="7" s="1"/>
  <c r="M42" i="7"/>
  <c r="K42" i="7"/>
  <c r="K45" i="7" s="1"/>
  <c r="K20" i="7" s="1"/>
  <c r="E42" i="7"/>
  <c r="E40" i="7"/>
  <c r="I39" i="7"/>
  <c r="I41" i="7" s="1"/>
  <c r="I16" i="7" s="1"/>
  <c r="E39" i="7"/>
  <c r="E41" i="7" s="1"/>
  <c r="E38" i="7"/>
  <c r="Q37" i="7"/>
  <c r="K37" i="7"/>
  <c r="G37" i="7"/>
  <c r="G10" i="7" s="1"/>
  <c r="E36" i="7"/>
  <c r="O35" i="7"/>
  <c r="O37" i="7" s="1"/>
  <c r="M35" i="7"/>
  <c r="M51" i="7" s="1"/>
  <c r="K35" i="7"/>
  <c r="K51" i="7" s="1"/>
  <c r="I35" i="7"/>
  <c r="I51" i="7" s="1"/>
  <c r="E34" i="7"/>
  <c r="K22" i="7"/>
  <c r="O20" i="7"/>
  <c r="M20" i="7"/>
  <c r="Q18" i="7"/>
  <c r="K18" i="7"/>
  <c r="I18" i="7"/>
  <c r="Q16" i="7"/>
  <c r="O16" i="7"/>
  <c r="M16" i="7"/>
  <c r="K16" i="7"/>
  <c r="G16" i="7"/>
  <c r="M14" i="7"/>
  <c r="K14" i="7"/>
  <c r="I14" i="7"/>
  <c r="G14" i="7"/>
  <c r="Q12" i="7"/>
  <c r="O12" i="7"/>
  <c r="M12" i="7"/>
  <c r="K12" i="7"/>
  <c r="I12" i="7"/>
  <c r="G12" i="7"/>
  <c r="Q10" i="7"/>
  <c r="K10" i="7"/>
  <c r="Q8" i="7"/>
  <c r="O8" i="7"/>
  <c r="M8" i="7"/>
  <c r="K8" i="7"/>
  <c r="I8" i="7"/>
  <c r="G8" i="7"/>
  <c r="Q6" i="7"/>
  <c r="O6" i="7"/>
  <c r="M6" i="7"/>
  <c r="K6" i="7"/>
  <c r="I6" i="7"/>
  <c r="G6" i="7"/>
  <c r="F91" i="6"/>
  <c r="F92" i="6" s="1"/>
  <c r="F90" i="6"/>
  <c r="G88" i="6"/>
  <c r="F88" i="6"/>
  <c r="F87" i="6"/>
  <c r="O85" i="6"/>
  <c r="F85" i="6"/>
  <c r="F84" i="6"/>
  <c r="S83" i="6"/>
  <c r="M83" i="6"/>
  <c r="F83" i="6"/>
  <c r="O81" i="6"/>
  <c r="U79" i="6"/>
  <c r="M79" i="6"/>
  <c r="M77" i="6"/>
  <c r="O69" i="6"/>
  <c r="M69" i="6"/>
  <c r="S68" i="6"/>
  <c r="S69" i="6" s="1"/>
  <c r="M67" i="6"/>
  <c r="I67" i="6"/>
  <c r="O63" i="6"/>
  <c r="O62" i="6"/>
  <c r="O79" i="6" s="1"/>
  <c r="I62" i="6"/>
  <c r="Q61" i="6"/>
  <c r="Q77" i="6" s="1"/>
  <c r="M61" i="6"/>
  <c r="I61" i="6"/>
  <c r="U59" i="6"/>
  <c r="U66" i="6" s="1"/>
  <c r="U70" i="6" s="1"/>
  <c r="U81" i="6" s="1"/>
  <c r="M59" i="6"/>
  <c r="O54" i="6"/>
  <c r="I54" i="6" s="1"/>
  <c r="M54" i="6"/>
  <c r="O53" i="6"/>
  <c r="O24" i="6" s="1"/>
  <c r="S52" i="6"/>
  <c r="I52" i="6"/>
  <c r="S51" i="6"/>
  <c r="S14" i="6" s="1"/>
  <c r="S50" i="6"/>
  <c r="S53" i="6" s="1"/>
  <c r="Q50" i="6"/>
  <c r="Q63" i="6" s="1"/>
  <c r="O50" i="6"/>
  <c r="I50" i="6"/>
  <c r="O49" i="6"/>
  <c r="I48" i="6"/>
  <c r="M47" i="6"/>
  <c r="M49" i="6" s="1"/>
  <c r="M16" i="6" s="1"/>
  <c r="O45" i="6"/>
  <c r="I45" i="6"/>
  <c r="O44" i="6"/>
  <c r="O60" i="6" s="1"/>
  <c r="U43" i="6"/>
  <c r="U55" i="6" s="1"/>
  <c r="S43" i="6"/>
  <c r="O43" i="6"/>
  <c r="K43" i="6"/>
  <c r="K55" i="6" s="1"/>
  <c r="U42" i="6"/>
  <c r="M42" i="6"/>
  <c r="I42" i="6" s="1"/>
  <c r="S41" i="6"/>
  <c r="Q41" i="6"/>
  <c r="I41" i="6" s="1"/>
  <c r="O41" i="6"/>
  <c r="M41" i="6"/>
  <c r="M43" i="6" s="1"/>
  <c r="K40" i="6"/>
  <c r="I40" i="6"/>
  <c r="K39" i="6"/>
  <c r="I39" i="6" s="1"/>
  <c r="I38" i="6"/>
  <c r="O22" i="6"/>
  <c r="O20" i="6"/>
  <c r="O18" i="6"/>
  <c r="M18" i="6"/>
  <c r="S16" i="6"/>
  <c r="O14" i="6"/>
  <c r="Q12" i="6"/>
  <c r="K12" i="6"/>
  <c r="S10" i="6"/>
  <c r="M10" i="6"/>
  <c r="K10" i="6"/>
  <c r="U8" i="6"/>
  <c r="S8" i="6"/>
  <c r="O8" i="6"/>
  <c r="U6" i="6"/>
  <c r="S6" i="6"/>
  <c r="Q6" i="6"/>
  <c r="O6" i="6"/>
  <c r="M6" i="6"/>
  <c r="K6" i="6"/>
  <c r="J41" i="4"/>
  <c r="U44" i="5"/>
  <c r="M59" i="5"/>
  <c r="O29" i="5"/>
  <c r="G39" i="5"/>
  <c r="G29" i="5"/>
  <c r="Q40" i="2"/>
  <c r="Q69" i="2"/>
  <c r="N52" i="4"/>
  <c r="H62" i="4"/>
  <c r="H61" i="4"/>
  <c r="H54" i="4"/>
  <c r="H76" i="4" s="1"/>
  <c r="H53" i="4"/>
  <c r="H74" i="4" s="1"/>
  <c r="H52" i="4"/>
  <c r="P52" i="4" s="1"/>
  <c r="H51" i="4"/>
  <c r="H45" i="4"/>
  <c r="H44" i="4"/>
  <c r="H43" i="4"/>
  <c r="H39" i="4"/>
  <c r="N36" i="4"/>
  <c r="H36" i="4"/>
  <c r="H35" i="4"/>
  <c r="F64" i="4"/>
  <c r="F63" i="4"/>
  <c r="F62" i="4"/>
  <c r="F61" i="4"/>
  <c r="F56" i="4"/>
  <c r="F50" i="4"/>
  <c r="F49" i="4"/>
  <c r="F48" i="4"/>
  <c r="F46" i="4"/>
  <c r="F44" i="4"/>
  <c r="F43" i="4"/>
  <c r="F33" i="4"/>
  <c r="P41" i="4"/>
  <c r="M55" i="5"/>
  <c r="O56" i="5"/>
  <c r="M58" i="5"/>
  <c r="M56" i="5"/>
  <c r="U50" i="5"/>
  <c r="U43" i="5"/>
  <c r="U42" i="5"/>
  <c r="U45" i="5"/>
  <c r="S45" i="5"/>
  <c r="O51" i="5"/>
  <c r="O47" i="5"/>
  <c r="O45" i="5"/>
  <c r="M54" i="5"/>
  <c r="M53" i="5"/>
  <c r="M52" i="5"/>
  <c r="M51" i="5"/>
  <c r="M50" i="5"/>
  <c r="M48" i="5"/>
  <c r="M47" i="5"/>
  <c r="O42" i="5"/>
  <c r="O41" i="5"/>
  <c r="O40" i="5"/>
  <c r="O39" i="5"/>
  <c r="O37" i="5"/>
  <c r="M44" i="5"/>
  <c r="M43" i="5"/>
  <c r="M42" i="5"/>
  <c r="M41" i="5"/>
  <c r="M40" i="5"/>
  <c r="M39" i="5"/>
  <c r="M37" i="5"/>
  <c r="M32" i="5"/>
  <c r="K59" i="5"/>
  <c r="K58" i="5"/>
  <c r="K57" i="5"/>
  <c r="K56" i="5"/>
  <c r="K51" i="5"/>
  <c r="K50" i="5"/>
  <c r="K49" i="5"/>
  <c r="K67" i="5"/>
  <c r="K47" i="5"/>
  <c r="K42" i="5"/>
  <c r="K41" i="5"/>
  <c r="K39" i="5"/>
  <c r="K40" i="5"/>
  <c r="K37" i="5"/>
  <c r="K31" i="5"/>
  <c r="I59" i="5"/>
  <c r="I58" i="5"/>
  <c r="I57" i="5"/>
  <c r="I56" i="5"/>
  <c r="I54" i="5"/>
  <c r="I52" i="5"/>
  <c r="I51" i="5"/>
  <c r="I48" i="5"/>
  <c r="I47" i="5"/>
  <c r="I42" i="5"/>
  <c r="I41" i="5"/>
  <c r="I40" i="5"/>
  <c r="I39" i="5"/>
  <c r="I34" i="5"/>
  <c r="I32" i="5"/>
  <c r="I31" i="5"/>
  <c r="G59" i="5"/>
  <c r="G58" i="5"/>
  <c r="G57" i="5"/>
  <c r="G51" i="5"/>
  <c r="G56" i="5"/>
  <c r="G46" i="5"/>
  <c r="G67" i="5"/>
  <c r="G45" i="5"/>
  <c r="G44" i="5"/>
  <c r="S67" i="2"/>
  <c r="S66" i="2"/>
  <c r="Q68" i="2"/>
  <c r="Q67" i="2"/>
  <c r="Q64" i="2"/>
  <c r="Q63" i="2"/>
  <c r="Y57" i="2"/>
  <c r="Y50" i="2"/>
  <c r="Y49" i="2"/>
  <c r="G62" i="2"/>
  <c r="Y48" i="2"/>
  <c r="G59" i="2"/>
  <c r="S52" i="2"/>
  <c r="Y51" i="2"/>
  <c r="W51" i="2"/>
  <c r="G46" i="2"/>
  <c r="S46" i="2"/>
  <c r="S44" i="2"/>
  <c r="S43" i="2"/>
  <c r="Q61" i="2"/>
  <c r="Q59" i="2"/>
  <c r="Q57" i="2"/>
  <c r="Q55" i="2"/>
  <c r="Q51" i="2"/>
  <c r="Q48" i="2"/>
  <c r="Q47" i="2"/>
  <c r="Q46" i="2"/>
  <c r="Q45" i="2"/>
  <c r="Q44" i="2"/>
  <c r="Q43" i="2"/>
  <c r="Q41" i="2"/>
  <c r="O69" i="2"/>
  <c r="O67" i="2"/>
  <c r="O65" i="2"/>
  <c r="O64" i="2"/>
  <c r="O59" i="2"/>
  <c r="O57" i="2"/>
  <c r="O51" i="2"/>
  <c r="O46" i="2"/>
  <c r="O45" i="2"/>
  <c r="O44" i="2"/>
  <c r="O43" i="2"/>
  <c r="M69" i="2"/>
  <c r="M67" i="2"/>
  <c r="M65" i="2"/>
  <c r="M64" i="2"/>
  <c r="M59" i="2"/>
  <c r="M57" i="2"/>
  <c r="M53" i="2"/>
  <c r="M51" i="2"/>
  <c r="M46" i="2"/>
  <c r="M45" i="2"/>
  <c r="M44" i="2"/>
  <c r="M43" i="2"/>
  <c r="M37" i="2"/>
  <c r="M34" i="2"/>
  <c r="G34" i="2"/>
  <c r="G40" i="2"/>
  <c r="K69" i="2"/>
  <c r="K67" i="2"/>
  <c r="K65" i="2"/>
  <c r="K64" i="2"/>
  <c r="K62" i="2"/>
  <c r="K59" i="2"/>
  <c r="K52" i="2"/>
  <c r="K51" i="2"/>
  <c r="K46" i="2"/>
  <c r="K45" i="2"/>
  <c r="K44" i="2"/>
  <c r="K43" i="2"/>
  <c r="K42" i="2"/>
  <c r="K38" i="2"/>
  <c r="K35" i="2"/>
  <c r="I69" i="2"/>
  <c r="I65" i="2"/>
  <c r="I59" i="2"/>
  <c r="I50" i="2"/>
  <c r="I49" i="2"/>
  <c r="I48" i="2"/>
  <c r="I46" i="2"/>
  <c r="I44" i="2"/>
  <c r="I43" i="2"/>
  <c r="I33" i="2"/>
  <c r="V50" i="4"/>
  <c r="N44" i="4"/>
  <c r="L61" i="4"/>
  <c r="L58" i="4"/>
  <c r="L57" i="4"/>
  <c r="L55" i="4"/>
  <c r="L44" i="4"/>
  <c r="L42" i="4"/>
  <c r="L41" i="4"/>
  <c r="J61" i="4"/>
  <c r="J56" i="4"/>
  <c r="J55" i="4"/>
  <c r="H19" i="4"/>
  <c r="O53" i="5"/>
  <c r="O50" i="5"/>
  <c r="U49" i="5"/>
  <c r="U48" i="5"/>
  <c r="Y56" i="2"/>
  <c r="Y55" i="2"/>
  <c r="Y54" i="2"/>
  <c r="V54" i="4"/>
  <c r="K71" i="5"/>
  <c r="I71" i="5"/>
  <c r="M73" i="5"/>
  <c r="M71" i="5"/>
  <c r="M11" i="5"/>
  <c r="I35" i="5"/>
  <c r="M67" i="5"/>
  <c r="M31" i="5"/>
  <c r="I15" i="5"/>
  <c r="M13" i="5"/>
  <c r="G13" i="5"/>
  <c r="I11" i="5"/>
  <c r="M9" i="5"/>
  <c r="K9" i="5"/>
  <c r="G9" i="5"/>
  <c r="O49" i="5"/>
  <c r="O46" i="5"/>
  <c r="P55" i="4"/>
  <c r="G11" i="5"/>
  <c r="G7" i="5"/>
  <c r="I7" i="5"/>
  <c r="I13" i="5"/>
  <c r="O31" i="5"/>
  <c r="K7" i="5"/>
  <c r="K11" i="5"/>
  <c r="I65" i="5"/>
  <c r="M65" i="5"/>
  <c r="O54" i="5"/>
  <c r="I69" i="5"/>
  <c r="O52" i="5"/>
  <c r="K65" i="5"/>
  <c r="K69" i="5"/>
  <c r="O48" i="5"/>
  <c r="I67" i="5"/>
  <c r="O32" i="5"/>
  <c r="M69" i="5"/>
  <c r="M7" i="5"/>
  <c r="G65" i="5"/>
  <c r="G42" i="5"/>
  <c r="I9" i="5"/>
  <c r="I17" i="5"/>
  <c r="G69" i="5"/>
  <c r="M15" i="5"/>
  <c r="M17" i="5"/>
  <c r="K15" i="5"/>
  <c r="K13" i="5"/>
  <c r="G15" i="5"/>
  <c r="I19" i="5"/>
  <c r="G17" i="5"/>
  <c r="G71" i="5"/>
  <c r="G73" i="5"/>
  <c r="I21" i="5"/>
  <c r="G75" i="5"/>
  <c r="I44" i="5"/>
  <c r="I23" i="5"/>
  <c r="I25" i="5"/>
  <c r="I73" i="5"/>
  <c r="I77" i="5"/>
  <c r="I75" i="5"/>
  <c r="K17" i="5"/>
  <c r="K44" i="5"/>
  <c r="K19" i="5"/>
  <c r="K21" i="5"/>
  <c r="K73" i="5"/>
  <c r="O57" i="5"/>
  <c r="K77" i="5"/>
  <c r="K75" i="5"/>
  <c r="M23" i="5"/>
  <c r="O43" i="5"/>
  <c r="M19" i="5"/>
  <c r="M21" i="5"/>
  <c r="M25" i="5"/>
  <c r="O44" i="5"/>
  <c r="M75" i="5"/>
  <c r="O55" i="5"/>
  <c r="M77" i="5"/>
  <c r="O58" i="5"/>
  <c r="Q34" i="2"/>
  <c r="O77" i="2"/>
  <c r="O34" i="2"/>
  <c r="G53" i="2"/>
  <c r="P59" i="4"/>
  <c r="L59" i="4"/>
  <c r="J70" i="4"/>
  <c r="F72" i="4"/>
  <c r="G61" i="2"/>
  <c r="G60" i="2"/>
  <c r="G58" i="2"/>
  <c r="G56" i="2"/>
  <c r="G55" i="2"/>
  <c r="G54" i="2"/>
  <c r="G52" i="2"/>
  <c r="G50" i="2"/>
  <c r="G49" i="2"/>
  <c r="G42" i="2"/>
  <c r="G41" i="2"/>
  <c r="G39" i="2"/>
  <c r="G38" i="2"/>
  <c r="G37" i="2"/>
  <c r="P58" i="4"/>
  <c r="P57" i="4"/>
  <c r="P49" i="4"/>
  <c r="P34" i="4"/>
  <c r="P40" i="4"/>
  <c r="P38" i="4"/>
  <c r="P37" i="4"/>
  <c r="J72" i="4"/>
  <c r="L74" i="4"/>
  <c r="L72" i="4"/>
  <c r="L70" i="4"/>
  <c r="L43" i="4"/>
  <c r="L11" i="4"/>
  <c r="L9" i="4"/>
  <c r="L7" i="4"/>
  <c r="J43" i="4"/>
  <c r="J9" i="4" s="1"/>
  <c r="H15" i="4"/>
  <c r="H9" i="4"/>
  <c r="H7" i="4"/>
  <c r="H17" i="4"/>
  <c r="H13" i="4"/>
  <c r="H11" i="4"/>
  <c r="F9" i="4"/>
  <c r="N7" i="4"/>
  <c r="F7" i="4"/>
  <c r="Q89" i="2"/>
  <c r="K87" i="2"/>
  <c r="K85" i="2"/>
  <c r="K83" i="2"/>
  <c r="M81" i="2"/>
  <c r="K81" i="2"/>
  <c r="O79" i="2"/>
  <c r="M79" i="2"/>
  <c r="K79" i="2"/>
  <c r="S62" i="2"/>
  <c r="O62" i="2"/>
  <c r="M62" i="2"/>
  <c r="I62" i="2"/>
  <c r="Q81" i="2"/>
  <c r="Q79" i="2"/>
  <c r="Q77" i="2"/>
  <c r="S59" i="2"/>
  <c r="S64" i="2"/>
  <c r="S12" i="2"/>
  <c r="G36" i="2"/>
  <c r="K77" i="2"/>
  <c r="G35" i="2"/>
  <c r="I77" i="2"/>
  <c r="G33" i="2"/>
  <c r="G32" i="2"/>
  <c r="K16" i="2"/>
  <c r="S14" i="2"/>
  <c r="K14" i="2"/>
  <c r="Q12" i="2"/>
  <c r="M12" i="2"/>
  <c r="K12" i="2"/>
  <c r="S10" i="2"/>
  <c r="Q10" i="2"/>
  <c r="O10" i="2"/>
  <c r="M10" i="2"/>
  <c r="K10" i="2"/>
  <c r="I10" i="2"/>
  <c r="S8" i="2"/>
  <c r="Q8" i="2"/>
  <c r="O8" i="2"/>
  <c r="M8" i="2"/>
  <c r="K8" i="2"/>
  <c r="I8" i="2"/>
  <c r="S6" i="2"/>
  <c r="K6" i="2"/>
  <c r="I6" i="2"/>
  <c r="G57" i="2"/>
  <c r="G51" i="2"/>
  <c r="M77" i="2"/>
  <c r="P50" i="4"/>
  <c r="G43" i="2"/>
  <c r="P36" i="4"/>
  <c r="P39" i="4"/>
  <c r="P42" i="4"/>
  <c r="J7" i="4"/>
  <c r="P33" i="4"/>
  <c r="P35" i="4"/>
  <c r="P43" i="4"/>
  <c r="F70" i="4"/>
  <c r="N43" i="4"/>
  <c r="P51" i="4"/>
  <c r="L56" i="4"/>
  <c r="L13" i="4"/>
  <c r="Q6" i="2"/>
  <c r="I64" i="2"/>
  <c r="I75" i="2"/>
  <c r="Q62" i="2"/>
  <c r="K75" i="2"/>
  <c r="S75" i="2"/>
  <c r="J74" i="4"/>
  <c r="F11" i="4"/>
  <c r="H70" i="4"/>
  <c r="N11" i="4"/>
  <c r="N9" i="4"/>
  <c r="K20" i="2"/>
  <c r="K18" i="2"/>
  <c r="S16" i="2"/>
  <c r="S48" i="2"/>
  <c r="S18" i="2"/>
  <c r="Q16" i="2"/>
  <c r="Q14" i="2"/>
  <c r="I12" i="2"/>
  <c r="M6" i="2"/>
  <c r="Q75" i="2"/>
  <c r="O6" i="2"/>
  <c r="I16" i="2"/>
  <c r="N70" i="4"/>
  <c r="N56" i="4"/>
  <c r="L76" i="4"/>
  <c r="F13" i="4"/>
  <c r="I14" i="2"/>
  <c r="O75" i="2"/>
  <c r="M75" i="2"/>
  <c r="M16" i="2"/>
  <c r="M14" i="2"/>
  <c r="O14" i="2"/>
  <c r="O12" i="2"/>
  <c r="I67" i="2"/>
  <c r="I18" i="2"/>
  <c r="G44" i="2"/>
  <c r="I79" i="2"/>
  <c r="I81" i="2"/>
  <c r="I83" i="2"/>
  <c r="K22" i="2"/>
  <c r="K24" i="2"/>
  <c r="K48" i="2"/>
  <c r="K26" i="2"/>
  <c r="K89" i="2"/>
  <c r="K91" i="2"/>
  <c r="K93" i="2"/>
  <c r="M18" i="2"/>
  <c r="M20" i="2"/>
  <c r="M48" i="2"/>
  <c r="O48" i="2"/>
  <c r="M22" i="2"/>
  <c r="M83" i="2"/>
  <c r="M85" i="2"/>
  <c r="M87" i="2"/>
  <c r="O16" i="2"/>
  <c r="O18" i="2"/>
  <c r="O20" i="2"/>
  <c r="O83" i="2"/>
  <c r="O81" i="2"/>
  <c r="O85" i="2"/>
  <c r="Q22" i="2"/>
  <c r="G45" i="2"/>
  <c r="Q18" i="2"/>
  <c r="Q20" i="2"/>
  <c r="Q24" i="2"/>
  <c r="Q83" i="2"/>
  <c r="G63" i="2"/>
  <c r="G64" i="2"/>
  <c r="Q85" i="2"/>
  <c r="Q87" i="2"/>
  <c r="S79" i="2"/>
  <c r="S77" i="2"/>
  <c r="I69" i="6" l="1"/>
  <c r="O10" i="7"/>
  <c r="M12" i="6"/>
  <c r="M55" i="6"/>
  <c r="M70" i="7"/>
  <c r="M54" i="7"/>
  <c r="M56" i="7" s="1"/>
  <c r="K56" i="6"/>
  <c r="K57" i="6"/>
  <c r="K58" i="6"/>
  <c r="K20" i="6" s="1"/>
  <c r="K14" i="6"/>
  <c r="O55" i="6"/>
  <c r="I60" i="6"/>
  <c r="O77" i="6"/>
  <c r="Q79" i="6"/>
  <c r="I70" i="7"/>
  <c r="E51" i="7"/>
  <c r="I54" i="7"/>
  <c r="I56" i="7" s="1"/>
  <c r="G57" i="7"/>
  <c r="G18" i="7"/>
  <c r="I43" i="6"/>
  <c r="U56" i="6"/>
  <c r="U14" i="6" s="1"/>
  <c r="U57" i="6"/>
  <c r="U16" i="6" s="1"/>
  <c r="U12" i="6"/>
  <c r="U58" i="6"/>
  <c r="U18" i="6" s="1"/>
  <c r="S18" i="6"/>
  <c r="S55" i="6"/>
  <c r="K70" i="7"/>
  <c r="K54" i="7"/>
  <c r="K56" i="7" s="1"/>
  <c r="K74" i="7"/>
  <c r="S63" i="6"/>
  <c r="I63" i="6" s="1"/>
  <c r="O70" i="7"/>
  <c r="K8" i="6"/>
  <c r="O10" i="6"/>
  <c r="S12" i="6"/>
  <c r="Q43" i="6"/>
  <c r="O46" i="6"/>
  <c r="O16" i="6" s="1"/>
  <c r="Q53" i="6"/>
  <c r="Q14" i="6" s="1"/>
  <c r="E52" i="7"/>
  <c r="M8" i="6"/>
  <c r="O26" i="6"/>
  <c r="I47" i="6"/>
  <c r="I49" i="6" s="1"/>
  <c r="S64" i="6"/>
  <c r="I68" i="6"/>
  <c r="E35" i="7"/>
  <c r="E37" i="7" s="1"/>
  <c r="I37" i="7"/>
  <c r="K59" i="6"/>
  <c r="G63" i="7"/>
  <c r="Q8" i="6"/>
  <c r="U10" i="6"/>
  <c r="M14" i="6"/>
  <c r="I44" i="6"/>
  <c r="I46" i="6" s="1"/>
  <c r="I51" i="6"/>
  <c r="U77" i="6"/>
  <c r="M37" i="7"/>
  <c r="O43" i="7"/>
  <c r="O45" i="7" s="1"/>
  <c r="C82" i="7"/>
  <c r="C83" i="7" s="1"/>
  <c r="O12" i="6"/>
  <c r="J44" i="4"/>
  <c r="J11" i="4" s="1"/>
  <c r="P54" i="4"/>
  <c r="P53" i="4"/>
  <c r="P56" i="4" s="1"/>
  <c r="V49" i="4" s="1"/>
  <c r="H56" i="4"/>
  <c r="H78" i="4" s="1"/>
  <c r="H72" i="4"/>
  <c r="H21" i="4"/>
  <c r="F74" i="4"/>
  <c r="O18" i="7" l="1"/>
  <c r="S56" i="6"/>
  <c r="S22" i="6" s="1"/>
  <c r="S57" i="6"/>
  <c r="S20" i="6"/>
  <c r="K77" i="6"/>
  <c r="I59" i="6"/>
  <c r="I10" i="7"/>
  <c r="G61" i="7"/>
  <c r="G70" i="7"/>
  <c r="G59" i="7"/>
  <c r="G74" i="7" s="1"/>
  <c r="M10" i="7"/>
  <c r="O57" i="6"/>
  <c r="O28" i="6"/>
  <c r="O56" i="6"/>
  <c r="O30" i="6" s="1"/>
  <c r="K18" i="6"/>
  <c r="K65" i="6"/>
  <c r="K66" i="6" s="1"/>
  <c r="K70" i="6" s="1"/>
  <c r="K81" i="6" s="1"/>
  <c r="O14" i="7"/>
  <c r="O53" i="7"/>
  <c r="S77" i="6"/>
  <c r="M56" i="6"/>
  <c r="M22" i="6" s="1"/>
  <c r="M57" i="6"/>
  <c r="M20" i="6"/>
  <c r="S79" i="6"/>
  <c r="I64" i="6"/>
  <c r="Q55" i="6"/>
  <c r="Q10" i="6"/>
  <c r="I55" i="6"/>
  <c r="K16" i="6"/>
  <c r="P44" i="4"/>
  <c r="F15" i="4"/>
  <c r="S58" i="6" l="1"/>
  <c r="S26" i="6" s="1"/>
  <c r="I47" i="7"/>
  <c r="I49" i="7"/>
  <c r="G78" i="7"/>
  <c r="K79" i="6"/>
  <c r="O58" i="6"/>
  <c r="O34" i="6" s="1"/>
  <c r="S24" i="6"/>
  <c r="S65" i="6"/>
  <c r="M58" i="6"/>
  <c r="M26" i="6" s="1"/>
  <c r="O74" i="7"/>
  <c r="E53" i="7"/>
  <c r="E54" i="7" s="1"/>
  <c r="E56" i="7" s="1"/>
  <c r="O54" i="7"/>
  <c r="O56" i="7" s="1"/>
  <c r="O59" i="7" s="1"/>
  <c r="O65" i="6"/>
  <c r="O32" i="6"/>
  <c r="I56" i="6"/>
  <c r="I58" i="6" s="1"/>
  <c r="Q58" i="6"/>
  <c r="Q22" i="6" s="1"/>
  <c r="Q16" i="6"/>
  <c r="Q56" i="6"/>
  <c r="Q18" i="6" s="1"/>
  <c r="Q57" i="6"/>
  <c r="M24" i="6"/>
  <c r="M65" i="6"/>
  <c r="I57" i="6"/>
  <c r="F17" i="4"/>
  <c r="O83" i="6" l="1"/>
  <c r="O66" i="6"/>
  <c r="O70" i="6" s="1"/>
  <c r="O87" i="6" s="1"/>
  <c r="I24" i="7"/>
  <c r="I60" i="7"/>
  <c r="I78" i="7" s="1"/>
  <c r="O82" i="7"/>
  <c r="Q65" i="6"/>
  <c r="Q20" i="6"/>
  <c r="I20" i="7"/>
  <c r="I48" i="7"/>
  <c r="M81" i="6"/>
  <c r="M66" i="6"/>
  <c r="M70" i="6" s="1"/>
  <c r="M85" i="6" s="1"/>
  <c r="S81" i="6"/>
  <c r="S66" i="6"/>
  <c r="S70" i="6" s="1"/>
  <c r="S85" i="6" s="1"/>
  <c r="F76" i="4"/>
  <c r="Q81" i="6" l="1"/>
  <c r="Q66" i="6"/>
  <c r="Q70" i="6" s="1"/>
  <c r="Q83" i="6" s="1"/>
  <c r="I50" i="7"/>
  <c r="I22" i="7"/>
  <c r="I65" i="6"/>
  <c r="I66" i="6" s="1"/>
  <c r="I70" i="6" s="1"/>
  <c r="F80" i="4"/>
  <c r="F78" i="4"/>
  <c r="I57" i="7" l="1"/>
  <c r="I26" i="7"/>
  <c r="H23" i="4"/>
  <c r="H46" i="4"/>
  <c r="I61" i="7" l="1"/>
  <c r="I72" i="7"/>
  <c r="I59" i="7"/>
  <c r="I76" i="7" s="1"/>
  <c r="H48" i="4"/>
  <c r="H25" i="4"/>
  <c r="I80" i="7" l="1"/>
  <c r="K47" i="7"/>
  <c r="K49" i="7"/>
  <c r="H27" i="4"/>
  <c r="K24" i="7" l="1"/>
  <c r="K48" i="7"/>
  <c r="K28" i="7"/>
  <c r="K60" i="7"/>
  <c r="K84" i="7" s="1"/>
  <c r="H80" i="4"/>
  <c r="H63" i="4"/>
  <c r="H64" i="4"/>
  <c r="K26" i="7" l="1"/>
  <c r="K50" i="7"/>
  <c r="H84" i="4"/>
  <c r="J45" i="4"/>
  <c r="H82" i="4"/>
  <c r="K57" i="7" l="1"/>
  <c r="K30" i="7"/>
  <c r="J46" i="4"/>
  <c r="J13" i="4"/>
  <c r="K61" i="7" l="1"/>
  <c r="K78" i="7"/>
  <c r="K59" i="7"/>
  <c r="K82" i="7" s="1"/>
  <c r="J48" i="4"/>
  <c r="J15" i="4"/>
  <c r="M47" i="7" l="1"/>
  <c r="K86" i="7"/>
  <c r="M49" i="7"/>
  <c r="J62" i="4"/>
  <c r="J17" i="4"/>
  <c r="M26" i="7" l="1"/>
  <c r="M60" i="7"/>
  <c r="M84" i="7" s="1"/>
  <c r="M22" i="7"/>
  <c r="M48" i="7"/>
  <c r="J76" i="4"/>
  <c r="J63" i="4"/>
  <c r="J64" i="4"/>
  <c r="M24" i="7" l="1"/>
  <c r="M50" i="7"/>
  <c r="J78" i="4"/>
  <c r="J80" i="4"/>
  <c r="L45" i="4"/>
  <c r="M28" i="7" l="1"/>
  <c r="M57" i="7"/>
  <c r="L15" i="4"/>
  <c r="L46" i="4"/>
  <c r="M78" i="7" l="1"/>
  <c r="M61" i="7"/>
  <c r="M59" i="7"/>
  <c r="M82" i="7" s="1"/>
  <c r="L17" i="4"/>
  <c r="L48" i="4"/>
  <c r="M86" i="7" l="1"/>
  <c r="O49" i="7"/>
  <c r="O26" i="7" s="1"/>
  <c r="O47" i="7"/>
  <c r="L62" i="4"/>
  <c r="L19" i="4"/>
  <c r="O22" i="7" l="1"/>
  <c r="O48" i="7"/>
  <c r="E47" i="7"/>
  <c r="E48" i="7" s="1"/>
  <c r="L63" i="4"/>
  <c r="L78" i="4"/>
  <c r="L64" i="4"/>
  <c r="O50" i="7" l="1"/>
  <c r="O24" i="7"/>
  <c r="L82" i="4"/>
  <c r="N47" i="4"/>
  <c r="N64" i="4" s="1"/>
  <c r="N80" i="4" s="1"/>
  <c r="N45" i="4"/>
  <c r="L80" i="4"/>
  <c r="O28" i="7" l="1"/>
  <c r="O60" i="7"/>
  <c r="N17" i="4"/>
  <c r="P47" i="4"/>
  <c r="N46" i="4"/>
  <c r="N13" i="4"/>
  <c r="P45" i="4"/>
  <c r="O84" i="7" l="1"/>
  <c r="Q58" i="7"/>
  <c r="N15" i="4"/>
  <c r="N48" i="4"/>
  <c r="P46" i="4"/>
  <c r="Q74" i="7" l="1"/>
  <c r="Q59" i="7"/>
  <c r="Q76" i="7" s="1"/>
  <c r="T52" i="4"/>
  <c r="V52" i="4" s="1"/>
  <c r="V51" i="4" s="1"/>
  <c r="V55" i="4" s="1"/>
  <c r="N60" i="4"/>
  <c r="N19" i="4"/>
  <c r="P48" i="4"/>
  <c r="N72" i="4" l="1"/>
  <c r="P60" i="4"/>
  <c r="N61" i="4"/>
  <c r="N74" i="4" l="1"/>
  <c r="P61" i="4"/>
  <c r="N62" i="4"/>
  <c r="N76" i="4" l="1"/>
  <c r="P62" i="4"/>
  <c r="N63" i="4"/>
  <c r="N78" i="4" l="1"/>
  <c r="P63" i="4"/>
</calcChain>
</file>

<file path=xl/sharedStrings.xml><?xml version="1.0" encoding="utf-8"?>
<sst xmlns="http://schemas.openxmlformats.org/spreadsheetml/2006/main" count="1190" uniqueCount="336">
  <si>
    <t>再開発スクール 実技 H26No.2　 年度別資金計画（解答）</t>
  </si>
  <si>
    <t>実施設計</t>
  </si>
  <si>
    <t>除却</t>
  </si>
  <si>
    <t>竣工</t>
  </si>
  <si>
    <t>表3：年度別資金計画表（百万円）</t>
  </si>
  <si>
    <t>組合設立</t>
  </si>
  <si>
    <t>権利変換認可</t>
  </si>
  <si>
    <t>工事着工</t>
  </si>
  <si>
    <t>総合計</t>
  </si>
  <si>
    <t>初年度</t>
  </si>
  <si>
    <t>2年度</t>
  </si>
  <si>
    <t>3年度</t>
  </si>
  <si>
    <t>4年度</t>
  </si>
  <si>
    <t>5年度</t>
  </si>
  <si>
    <t>6年度</t>
  </si>
  <si>
    <t>支出</t>
  </si>
  <si>
    <t>1．調査設計計画費</t>
  </si>
  <si>
    <t>1．事業計画作成費</t>
  </si>
  <si>
    <t>－</t>
  </si>
  <si>
    <t>2．地盤調査費</t>
  </si>
  <si>
    <t>⑨</t>
  </si>
  <si>
    <t>3．建築設計費</t>
  </si>
  <si>
    <t>⑩</t>
  </si>
  <si>
    <t>⑪</t>
  </si>
  <si>
    <t>4．権利変換計画作成費</t>
  </si>
  <si>
    <t>⑫</t>
  </si>
  <si>
    <t>5．その他調査費</t>
  </si>
  <si>
    <t>2．土地整備費</t>
  </si>
  <si>
    <t>除却・整地費</t>
  </si>
  <si>
    <t>⑬</t>
  </si>
  <si>
    <t>3．補償費</t>
  </si>
  <si>
    <t>1．法第91条補償費</t>
  </si>
  <si>
    <t>2．法第97条補償費</t>
  </si>
  <si>
    <t>4．工事費</t>
  </si>
  <si>
    <t>1．施設建築物工事費</t>
  </si>
  <si>
    <t>⑭</t>
  </si>
  <si>
    <t>2．道路工事費</t>
  </si>
  <si>
    <t>⑮</t>
  </si>
  <si>
    <t>5．営繕費</t>
  </si>
  <si>
    <t>仮設店舗設置費</t>
  </si>
  <si>
    <t>⑯</t>
  </si>
  <si>
    <t>（ア）1．～5．合計</t>
  </si>
  <si>
    <t>6．事務費</t>
  </si>
  <si>
    <t>⑰</t>
  </si>
  <si>
    <t>7．借入金利子</t>
  </si>
  <si>
    <t>⑱</t>
  </si>
  <si>
    <t>⑲</t>
  </si>
  <si>
    <t>⑳</t>
  </si>
  <si>
    <t>㉑</t>
  </si>
  <si>
    <t xml:space="preserve">      （イ）1．～７．合計</t>
  </si>
  <si>
    <t>㉒</t>
  </si>
  <si>
    <t>8．借入金償還金</t>
  </si>
  <si>
    <t>㉓</t>
  </si>
  <si>
    <t>支出金合計</t>
  </si>
  <si>
    <t>収入</t>
  </si>
  <si>
    <t>㉔</t>
  </si>
  <si>
    <t>2．残留者建物補償費相当額</t>
  </si>
  <si>
    <t>㉕</t>
  </si>
  <si>
    <t>3．法第97条補償費</t>
  </si>
  <si>
    <t>4．共同施設設備費</t>
  </si>
  <si>
    <t>㉖</t>
  </si>
  <si>
    <t>5．仮設店舗設置費</t>
  </si>
  <si>
    <t>Ａ補助金 合計</t>
  </si>
  <si>
    <t>㉗</t>
  </si>
  <si>
    <t>1．都市計画道路 用地費・補償費等</t>
  </si>
  <si>
    <t>2．都市計画道路整備費</t>
  </si>
  <si>
    <t>Ｂ公共施設管理者負担金 合計</t>
  </si>
  <si>
    <t>Ｃ保留床処分金</t>
  </si>
  <si>
    <t>㉘</t>
  </si>
  <si>
    <t>（ウ）Ａ+Ｂ+Ｃ 合計</t>
  </si>
  <si>
    <t>Ｄ借入金</t>
  </si>
  <si>
    <t>Ｅ前年度繰越金</t>
  </si>
  <si>
    <t>㉙</t>
  </si>
  <si>
    <t>収入金合計</t>
  </si>
  <si>
    <t>㉚</t>
  </si>
  <si>
    <t>次年度繰越金（各年度の収入金合計-支出金合計）</t>
  </si>
  <si>
    <t>年度末での累積借入金残額</t>
  </si>
  <si>
    <t>赤字：条件転記</t>
  </si>
  <si>
    <t>青字：条件より計算</t>
  </si>
  <si>
    <t>手順</t>
  </si>
  <si>
    <t>初年度支出</t>
  </si>
  <si>
    <t>2年度支出</t>
  </si>
  <si>
    <t>3年度支出</t>
  </si>
  <si>
    <t>4年度支出</t>
  </si>
  <si>
    <t>5年度支出</t>
  </si>
  <si>
    <t>6年度支出</t>
  </si>
  <si>
    <t>事業計画作成費</t>
  </si>
  <si>
    <t xml:space="preserve">建築設計費
</t>
  </si>
  <si>
    <t>建築設計費</t>
  </si>
  <si>
    <t>権変計画作成費</t>
  </si>
  <si>
    <t>地盤調査費</t>
  </si>
  <si>
    <t>権利変換計画作成費</t>
  </si>
  <si>
    <t>その他調査費</t>
  </si>
  <si>
    <t>施設建築物工事費</t>
  </si>
  <si>
    <t>1．～5．合計</t>
  </si>
  <si>
    <t>法第91条補償費</t>
  </si>
  <si>
    <t>道路工事費</t>
  </si>
  <si>
    <t>事務費</t>
  </si>
  <si>
    <t>法第97条補償費</t>
  </si>
  <si>
    <t>借入金利子</t>
  </si>
  <si>
    <t>1．～７．合計</t>
  </si>
  <si>
    <t>借入金償還金</t>
  </si>
  <si>
    <t>初年度収入</t>
  </si>
  <si>
    <t>2年度収入</t>
  </si>
  <si>
    <t>3年度収入</t>
  </si>
  <si>
    <t>4年度収入</t>
  </si>
  <si>
    <t>5年度収入</t>
  </si>
  <si>
    <t>6年度収入</t>
  </si>
  <si>
    <t>共同施設設備費</t>
  </si>
  <si>
    <t>残留者建物補償費</t>
  </si>
  <si>
    <t>前年度繰越金</t>
  </si>
  <si>
    <t>借入金</t>
  </si>
  <si>
    <t>保留床処分金</t>
  </si>
  <si>
    <t>計画道路整備費</t>
  </si>
  <si>
    <t>累積借入金残額</t>
  </si>
  <si>
    <t>用地費・補償費</t>
  </si>
  <si>
    <t>次年度繰越金</t>
  </si>
  <si>
    <t>再開発スクール 実技 H24No.2 年度別資金計画（解答）</t>
  </si>
  <si>
    <t>年度別資金計画 　　　　　　　　　　　　　　　　　　　　　　　　　　　　　　　　　　　　　　　　　　　　　　　　　　　　　　　　　　　　　　　　　　　　　　　　  (単位：百万円)</t>
  </si>
  <si>
    <t>２年度</t>
  </si>
  <si>
    <t>３年度</t>
  </si>
  <si>
    <t>４年度</t>
  </si>
  <si>
    <t>最終年度</t>
  </si>
  <si>
    <t>合計</t>
  </si>
  <si>
    <t>a 調査設計計画費</t>
  </si>
  <si>
    <t>（1）</t>
  </si>
  <si>
    <t>（2）</t>
  </si>
  <si>
    <t>（3）</t>
  </si>
  <si>
    <t>（4）</t>
  </si>
  <si>
    <t>b 土地整備費</t>
  </si>
  <si>
    <t>c 補償費</t>
  </si>
  <si>
    <t>都市再開発法第91条補償</t>
  </si>
  <si>
    <t>（5）</t>
  </si>
  <si>
    <t>都市再開発法第97条補償</t>
  </si>
  <si>
    <t>d 施設建築物工事費
 （施設建築物延べ面積×施設建築物工事費単価）</t>
  </si>
  <si>
    <t>（6）</t>
  </si>
  <si>
    <t>（7）</t>
  </si>
  <si>
    <t>e 防災広場整備費
 （防災広場整備面積×防災広場整備費単価）</t>
  </si>
  <si>
    <t>（8）</t>
  </si>
  <si>
    <t>a～eの小計</t>
  </si>
  <si>
    <t>（9）</t>
  </si>
  <si>
    <t>（10）</t>
  </si>
  <si>
    <t>金利</t>
  </si>
  <si>
    <t>（11）</t>
  </si>
  <si>
    <t>（12）</t>
  </si>
  <si>
    <t>（13）</t>
  </si>
  <si>
    <t>（14）</t>
  </si>
  <si>
    <t>支出総計</t>
  </si>
  <si>
    <t>（15）</t>
  </si>
  <si>
    <t>補助金</t>
  </si>
  <si>
    <t>調査設計
 計画費</t>
  </si>
  <si>
    <t>（16）</t>
  </si>
  <si>
    <t>土地整備費</t>
  </si>
  <si>
    <t>（17）</t>
  </si>
  <si>
    <t>共同施設整備費</t>
  </si>
  <si>
    <t>（18）</t>
  </si>
  <si>
    <t>（19）</t>
  </si>
  <si>
    <t>補助金 計</t>
  </si>
  <si>
    <t>（20）</t>
  </si>
  <si>
    <t>（21）</t>
  </si>
  <si>
    <t>用地費</t>
  </si>
  <si>
    <t>（22）</t>
  </si>
  <si>
    <t>整備費</t>
  </si>
  <si>
    <t>負担金 計</t>
  </si>
  <si>
    <t>（23）</t>
  </si>
  <si>
    <t>（24）</t>
  </si>
  <si>
    <t>（25）</t>
  </si>
  <si>
    <t>（26）</t>
  </si>
  <si>
    <t>当年度借入金</t>
  </si>
  <si>
    <t>（27）</t>
  </si>
  <si>
    <t>収入総計</t>
  </si>
  <si>
    <t>（28）</t>
  </si>
  <si>
    <t>（29）</t>
  </si>
  <si>
    <t>（30）</t>
  </si>
  <si>
    <t>-</t>
  </si>
  <si>
    <t>防災広場整備費</t>
  </si>
  <si>
    <t>都再法第91条補償</t>
  </si>
  <si>
    <t>都再法第97条補償</t>
  </si>
  <si>
    <t>公共施設管
 理者負担金</t>
    <phoneticPr fontId="2"/>
  </si>
  <si>
    <t>再開発スクール 実技 H27No.1 年度別資金計画（解答）</t>
  </si>
  <si>
    <t>最終年度支出</t>
  </si>
  <si>
    <t>１．～４．の小計</t>
  </si>
  <si>
    <t>91条補償費(用地費)</t>
    <phoneticPr fontId="2"/>
  </si>
  <si>
    <t>91条補償費(建物費)</t>
    <phoneticPr fontId="2"/>
  </si>
  <si>
    <t>事業支出金合計</t>
  </si>
  <si>
    <t>法97条補償費</t>
  </si>
  <si>
    <t>借入金利息</t>
  </si>
  <si>
    <t>年度別資金計画表                                                                                                                                                                                                                                                         （単位：百万円）</t>
  </si>
  <si>
    <t>１．調査設計計画費</t>
  </si>
  <si>
    <t>１）事業計画作成費</t>
  </si>
  <si>
    <t>２）地盤調査費</t>
  </si>
  <si>
    <t>３）建築設計費（工事監理費含む）</t>
  </si>
  <si>
    <t>①</t>
  </si>
  <si>
    <t>４）権利変換計画作成費</t>
  </si>
  <si>
    <t>②</t>
  </si>
  <si>
    <t>２．土地整備費（建物除却・整地費）</t>
  </si>
  <si>
    <t>３．補償費</t>
  </si>
  <si>
    <t>１）法91条補償費（用地費）</t>
  </si>
  <si>
    <t>③</t>
  </si>
  <si>
    <t>２）法91条補償費（建物費）</t>
  </si>
  <si>
    <t>④</t>
  </si>
  <si>
    <t>３）法97条補償費</t>
  </si>
  <si>
    <t>４．工事費</t>
  </si>
  <si>
    <t>１）施設建築物工事費</t>
  </si>
  <si>
    <t>⑤</t>
  </si>
  <si>
    <t>⑥</t>
  </si>
  <si>
    <t>２）道路工事費</t>
  </si>
  <si>
    <t>⑦</t>
  </si>
  <si>
    <t>⑧</t>
  </si>
  <si>
    <t>５．事務費</t>
  </si>
  <si>
    <t>６．借入金利息</t>
  </si>
  <si>
    <t>３．共同施設整備費</t>
  </si>
  <si>
    <t>補助金計</t>
  </si>
  <si>
    <t>公共施設管理者負担金</t>
  </si>
  <si>
    <t>１．補償費</t>
  </si>
  <si>
    <t>２．道路工事費</t>
  </si>
  <si>
    <t>公共施設管理者負担金計</t>
  </si>
  <si>
    <t>借入金残額</t>
  </si>
  <si>
    <t>最終年度収入</t>
  </si>
  <si>
    <t>補償費</t>
  </si>
  <si>
    <t>支出</t>
    <rPh sb="0" eb="2">
      <t>シシュｔウ</t>
    </rPh>
    <phoneticPr fontId="2"/>
  </si>
  <si>
    <t>収入</t>
    <rPh sb="0" eb="2">
      <t>シュウニュウ</t>
    </rPh>
    <phoneticPr fontId="2"/>
  </si>
  <si>
    <t>合計</t>
    <rPh sb="0" eb="2">
      <t>ゴウケイ</t>
    </rPh>
    <phoneticPr fontId="2"/>
  </si>
  <si>
    <t>補助金</t>
    <rPh sb="0" eb="3">
      <t>ホｊｙオ</t>
    </rPh>
    <phoneticPr fontId="2"/>
  </si>
  <si>
    <t>公管金</t>
    <rPh sb="0" eb="1">
      <t>コウキョウ</t>
    </rPh>
    <rPh sb="1" eb="2">
      <t>カンリｓｈア</t>
    </rPh>
    <rPh sb="2" eb="3">
      <t xml:space="preserve">キｎ </t>
    </rPh>
    <phoneticPr fontId="2"/>
  </si>
  <si>
    <t>保留床処分金</t>
    <rPh sb="0" eb="1">
      <t>ホリュウ</t>
    </rPh>
    <rPh sb="1" eb="2">
      <t>リュウ</t>
    </rPh>
    <rPh sb="2" eb="3">
      <t>ユｋア</t>
    </rPh>
    <rPh sb="3" eb="5">
      <t xml:space="preserve">ショブｎ </t>
    </rPh>
    <rPh sb="5" eb="6">
      <t xml:space="preserve">キｎ </t>
    </rPh>
    <phoneticPr fontId="2"/>
  </si>
  <si>
    <t>（２４）を計算する手順</t>
    <rPh sb="5" eb="7">
      <t xml:space="preserve">ケイサｎ </t>
    </rPh>
    <rPh sb="9" eb="11">
      <t xml:space="preserve">テジュｎ </t>
    </rPh>
    <phoneticPr fontId="2"/>
  </si>
  <si>
    <t>３年度</t>
    <rPh sb="1" eb="3">
      <t>ネｎン</t>
    </rPh>
    <phoneticPr fontId="2"/>
  </si>
  <si>
    <t>最終年度</t>
    <rPh sb="0" eb="2">
      <t>サイシュウ</t>
    </rPh>
    <rPh sb="2" eb="4">
      <t>ネｎン</t>
    </rPh>
    <phoneticPr fontId="2"/>
  </si>
  <si>
    <t>（5年度の保留床処分金）を計算する手順</t>
    <rPh sb="2" eb="4">
      <t>ネｎン</t>
    </rPh>
    <rPh sb="5" eb="8">
      <t>ホリュウ</t>
    </rPh>
    <rPh sb="8" eb="11">
      <t xml:space="preserve">ショブンキｎ </t>
    </rPh>
    <rPh sb="13" eb="15">
      <t xml:space="preserve">ケイサｎ </t>
    </rPh>
    <rPh sb="17" eb="19">
      <t xml:space="preserve">テジュｎ </t>
    </rPh>
    <phoneticPr fontId="2"/>
  </si>
  <si>
    <t>４年度</t>
    <rPh sb="1" eb="3">
      <t>ネｎン</t>
    </rPh>
    <phoneticPr fontId="2"/>
  </si>
  <si>
    <t>２年度</t>
    <rPh sb="1" eb="3">
      <t>ネｎン</t>
    </rPh>
    <phoneticPr fontId="2"/>
  </si>
  <si>
    <t>5年度</t>
    <rPh sb="1" eb="3">
      <t>ネｎン</t>
    </rPh>
    <phoneticPr fontId="2"/>
  </si>
  <si>
    <t>（最終年度の保留床処分金）を計算する手順</t>
    <rPh sb="1" eb="3">
      <t>サイシュウ</t>
    </rPh>
    <rPh sb="3" eb="4">
      <t xml:space="preserve">ネｎ </t>
    </rPh>
    <rPh sb="4" eb="5">
      <t>ネｎン</t>
    </rPh>
    <rPh sb="6" eb="9">
      <t>ホリュウ</t>
    </rPh>
    <rPh sb="9" eb="12">
      <t xml:space="preserve">ショブンキｎ </t>
    </rPh>
    <rPh sb="14" eb="16">
      <t xml:space="preserve">ケイサｎ </t>
    </rPh>
    <rPh sb="18" eb="20">
      <t xml:space="preserve">テジュｎ </t>
    </rPh>
    <phoneticPr fontId="2"/>
  </si>
  <si>
    <t>-</t>
    <phoneticPr fontId="2"/>
  </si>
  <si>
    <t>4年度</t>
    <rPh sb="1" eb="3">
      <t>ネｎン</t>
    </rPh>
    <phoneticPr fontId="2"/>
  </si>
  <si>
    <t>再開発スクール 実技 H28 No.1　年度別資金計画（解答）</t>
  </si>
  <si>
    <t>コーディネート費</t>
  </si>
  <si>
    <t>小計</t>
  </si>
  <si>
    <t>建物等除却費</t>
  </si>
  <si>
    <t>施設建築物工事費</t>
    <phoneticPr fontId="2"/>
  </si>
  <si>
    <t>（１～5）合計</t>
  </si>
  <si>
    <t>整地費</t>
  </si>
  <si>
    <t>空地等整備費</t>
  </si>
  <si>
    <t>道路等整備費</t>
  </si>
  <si>
    <t>支出金総計</t>
  </si>
  <si>
    <t>年度別資金計画表</t>
  </si>
  <si>
    <t>単位：百万円</t>
  </si>
  <si>
    <t>算出式</t>
  </si>
  <si>
    <t>総額</t>
  </si>
  <si>
    <t>支出金</t>
  </si>
  <si>
    <t>[各年度15,000千円]</t>
  </si>
  <si>
    <t>[施設建築物建築工事費×料率0.84%]+[地区面積×5千円/㎡]</t>
  </si>
  <si>
    <t>[調査本数10本×1,000千円/㎡]</t>
  </si>
  <si>
    <t>[施設建築物建築工事費×注）による料率]なお、内30％を工事監理費とする</t>
  </si>
  <si>
    <t>[地区面積×15千円/㎡]なお、2年度80％、6年度20％とする</t>
  </si>
  <si>
    <t>[従前建物延べ床面積×40千円/㎡]</t>
  </si>
  <si>
    <t>[従前宅地面積×1千円/㎡]</t>
  </si>
  <si>
    <t>３）従前資産等による</t>
  </si>
  <si>
    <t>施設建築物建築工事費</t>
  </si>
  <si>
    <t>[施設建築物延べ床面積×400千円/㎡]</t>
  </si>
  <si>
    <t>[施設建築敷地面積×30％×70千円/㎡]</t>
  </si>
  <si>
    <t>[都市計画道路拡幅面積×80千円/㎡+その他道路拡幅面積×60千円/㎡]</t>
  </si>
  <si>
    <t>[計画戸数10戸×10,000千円/戸]なお、2年度50％、3年度50％とする。</t>
  </si>
  <si>
    <t>(1～5）合計</t>
  </si>
  <si>
    <t>6．借入金利子</t>
  </si>
  <si>
    <t>[各年度支出金小計(1～5)×1.0％]</t>
  </si>
  <si>
    <t>7．事務費</t>
  </si>
  <si>
    <t>[各年度支出金小計(1～5)×3％]</t>
  </si>
  <si>
    <t>(1～7）合計</t>
  </si>
  <si>
    <t>保留床処分金以外の収入金</t>
  </si>
  <si>
    <t>1．補助金</t>
  </si>
  <si>
    <t>調査設計計画費</t>
  </si>
  <si>
    <t>5）収入金の算定条件による</t>
  </si>
  <si>
    <t>同上</t>
  </si>
  <si>
    <t>従前建物補償費</t>
  </si>
  <si>
    <t>補助金合計</t>
  </si>
  <si>
    <t>１の合計</t>
  </si>
  <si>
    <r>
      <t>2</t>
    </r>
    <r>
      <rPr>
        <sz val="10"/>
        <color rgb="FF000000"/>
        <rFont val="ＭＳ ゴシック"/>
        <family val="3"/>
        <charset val="128"/>
      </rPr>
      <t xml:space="preserve">．公共施
</t>
    </r>
    <r>
      <rPr>
        <sz val="10"/>
        <color rgb="FF000000"/>
        <rFont val="Yu Gothic"/>
        <family val="2"/>
        <charset val="128"/>
      </rPr>
      <t>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ゴシック"/>
        <family val="3"/>
        <charset val="128"/>
      </rPr>
      <t xml:space="preserve">設管理者
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ゴシック"/>
        <family val="2"/>
        <charset val="128"/>
      </rPr>
      <t>　</t>
    </r>
    <r>
      <rPr>
        <sz val="10"/>
        <color rgb="FF000000"/>
        <rFont val="ＭＳ ゴシック"/>
        <family val="3"/>
        <charset val="128"/>
      </rPr>
      <t>負担金</t>
    </r>
    <phoneticPr fontId="2"/>
  </si>
  <si>
    <t>5)収入金の算定条件による</t>
  </si>
  <si>
    <t>.</t>
  </si>
  <si>
    <t>公管金合計</t>
  </si>
  <si>
    <t>2の合計</t>
  </si>
  <si>
    <t>補助金・公共施設管理者負担金総計</t>
  </si>
  <si>
    <t>1、2の合計</t>
  </si>
  <si>
    <t>注）建築設計費の料率は、施設建築工事が10,000百万円の場合3.44%、25,000百万円の場合2.74% とした場合の直線的補間で求めることとし、算出した料率は小数点以下第3位以下を切り捨てるものとする。</t>
  </si>
  <si>
    <t>（百万円）</t>
    <rPh sb="1" eb="4">
      <t>ヒャクマｎン</t>
    </rPh>
    <phoneticPr fontId="2"/>
  </si>
  <si>
    <t>％</t>
    <phoneticPr fontId="2"/>
  </si>
  <si>
    <t>X</t>
    <phoneticPr fontId="2"/>
  </si>
  <si>
    <t>補助金・公管金総計</t>
  </si>
  <si>
    <t>3.44-2.74=</t>
    <phoneticPr fontId="2"/>
  </si>
  <si>
    <t>25,000-10,000=</t>
    <phoneticPr fontId="2"/>
  </si>
  <si>
    <t>19,200-10,000=</t>
    <phoneticPr fontId="2"/>
  </si>
  <si>
    <t>0.7×9200/15000=</t>
    <phoneticPr fontId="2"/>
  </si>
  <si>
    <t>3.44-0.429</t>
    <phoneticPr fontId="2"/>
  </si>
  <si>
    <t xml:space="preserve"> 再開発スクール　実技H29NO.1　年度別資金計画表</t>
  </si>
  <si>
    <t>基本設計費</t>
  </si>
  <si>
    <t>建築設計費等</t>
  </si>
  <si>
    <t>その他調査設計費</t>
  </si>
  <si>
    <t>その他調査計画費</t>
  </si>
  <si>
    <t>調査設計計画費 計</t>
  </si>
  <si>
    <t>工事費 計</t>
  </si>
  <si>
    <t>法９１条補償費</t>
  </si>
  <si>
    <t>建築工事費(主体等)</t>
  </si>
  <si>
    <t>法９７条補償費</t>
  </si>
  <si>
    <t>建築工事費(駐車場)</t>
  </si>
  <si>
    <t>補償費 計</t>
  </si>
  <si>
    <t>その他工事費</t>
  </si>
  <si>
    <t>支出合計</t>
  </si>
  <si>
    <r>
      <rPr>
        <sz val="11"/>
        <color rgb="FF000000"/>
        <rFont val="ＭＳ ゴシック"/>
        <family val="3"/>
        <charset val="128"/>
      </rPr>
      <t>表</t>
    </r>
    <r>
      <rPr>
        <sz val="11"/>
        <color rgb="FF000000"/>
        <rFont val="Arial"/>
        <family val="3"/>
      </rPr>
      <t>4</t>
    </r>
    <r>
      <rPr>
        <sz val="11"/>
        <color rgb="FF000000"/>
        <rFont val="Yu Gothic"/>
        <family val="3"/>
        <charset val="128"/>
      </rPr>
      <t>　</t>
    </r>
    <r>
      <rPr>
        <sz val="11"/>
        <color rgb="FF000000"/>
        <rFont val="ＭＳ ゴシック"/>
        <family val="3"/>
        <charset val="128"/>
      </rPr>
      <t>年度別資金計画表</t>
    </r>
    <rPh sb="0" eb="1">
      <t>ヒョウ</t>
    </rPh>
    <phoneticPr fontId="2"/>
  </si>
  <si>
    <t>（単位：百万円）</t>
  </si>
  <si>
    <t>項 目</t>
  </si>
  <si>
    <t>５年度</t>
  </si>
  <si>
    <t>６年度</t>
  </si>
  <si>
    <t>基本設計・基本設計費</t>
  </si>
  <si>
    <t>―</t>
  </si>
  <si>
    <t>建築設計費等(設計監理費を含む)</t>
  </si>
  <si>
    <t>その他調査設計計画費</t>
  </si>
  <si>
    <t>工事費</t>
  </si>
  <si>
    <t>建築工事費(主体工事等)</t>
  </si>
  <si>
    <t>借入金償還金（出題分（ロ）7より前年度末借入金残高を記載）</t>
  </si>
  <si>
    <t>共同施設整備費(主体工事等)</t>
  </si>
  <si>
    <t>共同施設整備費(駐車場)</t>
  </si>
  <si>
    <t>㉛</t>
  </si>
  <si>
    <t>㉜</t>
  </si>
  <si>
    <t>収入合計</t>
  </si>
  <si>
    <t>㉝</t>
  </si>
  <si>
    <t>年度末借入金残高</t>
  </si>
  <si>
    <t>㉞</t>
  </si>
  <si>
    <t>床原価総額</t>
  </si>
  <si>
    <t>㉟</t>
  </si>
  <si>
    <t>百万円</t>
  </si>
  <si>
    <t>%</t>
    <phoneticPr fontId="2"/>
  </si>
  <si>
    <t>施設整備費(主体等)</t>
  </si>
  <si>
    <t>施設整備費(駐車場)</t>
  </si>
  <si>
    <t>19,000-10,000=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</si>
</sst>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000"/>
  </numFmts>
  <fonts count="66">
    <font>
      <sz val="11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entury"/>
      <family val="1"/>
    </font>
    <font>
      <sz val="11"/>
      <color rgb="FF000000"/>
      <name val="Meiryo"/>
      <family val="3"/>
      <charset val="128"/>
    </font>
    <font>
      <sz val="10"/>
      <color rgb="FF00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rgb="FF5B9BD5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color rgb="FF4A86E8"/>
      <name val="HG丸ｺﾞｼｯｸM-PRO"/>
      <family val="3"/>
      <charset val="128"/>
    </font>
    <font>
      <sz val="10"/>
      <color rgb="FF5B9BD5"/>
      <name val="HG丸ｺﾞｼｯｸM-PRO"/>
      <family val="3"/>
      <charset val="128"/>
    </font>
    <font>
      <sz val="8"/>
      <color rgb="FF4A86E8"/>
      <name val="Roboto"/>
    </font>
    <font>
      <sz val="10"/>
      <color rgb="FF4A86E8"/>
      <name val="Roboto"/>
    </font>
    <font>
      <sz val="9"/>
      <color rgb="FF4A86E8"/>
      <name val="HG丸ｺﾞｼｯｸM-PRO"/>
      <family val="3"/>
      <charset val="128"/>
    </font>
    <font>
      <sz val="11"/>
      <color rgb="FF5B9BD5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4A86E8"/>
      <name val="Roboto"/>
    </font>
    <font>
      <b/>
      <sz val="11"/>
      <color rgb="FFFF0000"/>
      <name val="Arial"/>
      <family val="2"/>
    </font>
    <font>
      <sz val="11"/>
      <color rgb="FF4A86E8"/>
      <name val="Arial"/>
      <family val="2"/>
    </font>
    <font>
      <b/>
      <sz val="11"/>
      <color rgb="FF4A86E8"/>
      <name val="Arial"/>
      <family val="2"/>
    </font>
    <font>
      <sz val="11"/>
      <color rgb="FFFF0000"/>
      <name val="Arial"/>
      <family val="2"/>
    </font>
    <font>
      <sz val="10"/>
      <color rgb="FF4A86E8"/>
      <name val="Arial"/>
      <family val="2"/>
    </font>
    <font>
      <sz val="9"/>
      <color rgb="FF4A86E8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4A86E8"/>
      <name val="游ゴシック"/>
      <family val="3"/>
      <charset val="128"/>
    </font>
    <font>
      <sz val="9"/>
      <color rgb="FF4A86E8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b/>
      <sz val="10"/>
      <color rgb="FF000000"/>
      <name val="Arial"/>
      <family val="2"/>
    </font>
    <font>
      <sz val="10"/>
      <color rgb="FF4A86E8"/>
      <name val="Inconsolata"/>
    </font>
    <font>
      <sz val="10"/>
      <color theme="1"/>
      <name val="游ゴシック"/>
      <family val="2"/>
      <charset val="128"/>
      <scheme val="minor"/>
    </font>
    <font>
      <sz val="8"/>
      <color rgb="FF4A86E8"/>
      <name val="HG丸ｺﾞｼｯｸM-PRO"/>
      <family val="3"/>
      <charset val="128"/>
    </font>
    <font>
      <sz val="8"/>
      <color rgb="FF000000"/>
      <name val="Arial"/>
      <family val="2"/>
    </font>
    <font>
      <sz val="8"/>
      <color rgb="FF00FFFF"/>
      <name val="Arial"/>
      <family val="2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0000"/>
      <name val="Arial"/>
      <family val="2"/>
    </font>
    <font>
      <sz val="10"/>
      <color rgb="FF4A86E8"/>
      <name val="ＭＳ ゴシック"/>
      <family val="3"/>
      <charset val="128"/>
    </font>
    <font>
      <sz val="10"/>
      <color rgb="FFFF0000"/>
      <name val="Inconsolata"/>
    </font>
    <font>
      <sz val="10"/>
      <color theme="8"/>
      <name val="HG丸ｺﾞｼｯｸM-PRO"/>
      <family val="3"/>
      <charset val="128"/>
    </font>
    <font>
      <b/>
      <sz val="10"/>
      <color rgb="FF4A86E8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ＭＳ ゴシック"/>
      <family val="3"/>
      <charset val="128"/>
    </font>
    <font>
      <sz val="10"/>
      <color rgb="FF000000"/>
      <name val="Yu Gothic"/>
      <family val="2"/>
      <charset val="128"/>
    </font>
    <font>
      <sz val="10"/>
      <color rgb="FF000000"/>
      <name val="ＭＳ ゴシック"/>
      <family val="2"/>
      <charset val="128"/>
    </font>
    <font>
      <sz val="8"/>
      <color rgb="FF000000"/>
      <name val="HG丸ｺﾞｼｯｸM-PRO"/>
      <family val="3"/>
      <charset val="128"/>
    </font>
    <font>
      <sz val="11"/>
      <color rgb="FF000000"/>
      <name val="Arial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Arial"/>
      <family val="3"/>
    </font>
    <font>
      <sz val="11"/>
      <color rgb="FF000000"/>
      <name val="Yu Gothic"/>
      <family val="3"/>
      <charset val="128"/>
    </font>
    <font>
      <b/>
      <sz val="11"/>
      <color rgb="FF000000"/>
      <name val="Century"/>
      <family val="1"/>
    </font>
    <font>
      <b/>
      <sz val="11"/>
      <color rgb="FFFF0000"/>
      <name val="Century"/>
      <family val="1"/>
    </font>
    <font>
      <b/>
      <sz val="11"/>
      <color rgb="FF4A86E8"/>
      <name val="Century"/>
      <family val="1"/>
    </font>
    <font>
      <sz val="11"/>
      <color rgb="FF4A86E8"/>
      <name val="Century"/>
      <family val="1"/>
    </font>
    <font>
      <sz val="11"/>
      <color rgb="FFFF0000"/>
      <name val="Century"/>
      <family val="1"/>
    </font>
    <font>
      <b/>
      <sz val="11"/>
      <color rgb="FF00B0F0"/>
      <name val="Century"/>
      <family val="1"/>
    </font>
    <font>
      <sz val="11"/>
      <color rgb="FF00FFFF"/>
      <name val="Century"/>
      <family val="1"/>
    </font>
    <font>
      <sz val="10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E699"/>
        <bgColor rgb="FFFFE699"/>
      </patternFill>
    </fill>
    <fill>
      <patternFill patternType="solid">
        <fgColor rgb="FFE2EFDA"/>
        <bgColor rgb="FFE2EFDA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9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2">
    <xf numFmtId="0" fontId="0" fillId="0" borderId="0">
      <alignment vertical="center"/>
    </xf>
    <xf numFmtId="38" fontId="43" fillId="0" borderId="0" applyFont="0" applyFill="0" applyBorder="0" applyAlignment="0" applyProtection="0">
      <alignment vertical="center"/>
    </xf>
  </cellStyleXfs>
  <cellXfs count="97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0" xfId="0" applyAlignment="1"/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3" fontId="30" fillId="0" borderId="0" xfId="0" applyNumberFormat="1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" fillId="3" borderId="44" xfId="0" applyNumberFormat="1" applyFont="1" applyFill="1" applyBorder="1" applyAlignment="1">
      <alignment horizontal="center" vertical="center"/>
    </xf>
    <xf numFmtId="3" fontId="31" fillId="3" borderId="13" xfId="0" applyNumberFormat="1" applyFont="1" applyFill="1" applyBorder="1" applyAlignment="1">
      <alignment horizontal="center" vertical="center"/>
    </xf>
    <xf numFmtId="3" fontId="33" fillId="3" borderId="7" xfId="0" applyNumberFormat="1" applyFont="1" applyFill="1" applyBorder="1" applyAlignment="1">
      <alignment horizontal="center" vertical="center"/>
    </xf>
    <xf numFmtId="3" fontId="31" fillId="3" borderId="7" xfId="0" applyNumberFormat="1" applyFont="1" applyFill="1" applyBorder="1" applyAlignment="1">
      <alignment horizontal="center" vertical="center"/>
    </xf>
    <xf numFmtId="3" fontId="33" fillId="3" borderId="45" xfId="0" applyNumberFormat="1" applyFont="1" applyFill="1" applyBorder="1" applyAlignment="1">
      <alignment horizontal="center" vertical="center"/>
    </xf>
    <xf numFmtId="3" fontId="31" fillId="3" borderId="45" xfId="0" applyNumberFormat="1" applyFont="1" applyFill="1" applyBorder="1" applyAlignment="1">
      <alignment horizontal="center" vertical="center"/>
    </xf>
    <xf numFmtId="3" fontId="33" fillId="3" borderId="13" xfId="0" applyNumberFormat="1" applyFont="1" applyFill="1" applyBorder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31" fillId="0" borderId="18" xfId="0" applyNumberFormat="1" applyFont="1" applyBorder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36" fillId="4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" fillId="4" borderId="7" xfId="0" applyNumberFormat="1" applyFont="1" applyFill="1" applyBorder="1" applyAlignment="1">
      <alignment horizontal="center" vertical="center"/>
    </xf>
    <xf numFmtId="3" fontId="1" fillId="4" borderId="44" xfId="0" applyNumberFormat="1" applyFont="1" applyFill="1" applyBorder="1" applyAlignment="1">
      <alignment horizontal="center" vertical="center"/>
    </xf>
    <xf numFmtId="3" fontId="26" fillId="4" borderId="6" xfId="0" applyNumberFormat="1" applyFont="1" applyFill="1" applyBorder="1" applyAlignment="1">
      <alignment horizontal="center" vertical="center"/>
    </xf>
    <xf numFmtId="3" fontId="26" fillId="4" borderId="7" xfId="0" applyNumberFormat="1" applyFont="1" applyFill="1" applyBorder="1" applyAlignment="1">
      <alignment horizontal="center" vertical="center"/>
    </xf>
    <xf numFmtId="3" fontId="26" fillId="4" borderId="33" xfId="0" applyNumberFormat="1" applyFont="1" applyFill="1" applyBorder="1" applyAlignment="1">
      <alignment horizontal="center" vertical="center"/>
    </xf>
    <xf numFmtId="3" fontId="26" fillId="4" borderId="45" xfId="0" applyNumberFormat="1" applyFont="1" applyFill="1" applyBorder="1" applyAlignment="1">
      <alignment horizontal="center" vertical="center"/>
    </xf>
    <xf numFmtId="3" fontId="26" fillId="4" borderId="12" xfId="0" applyNumberFormat="1" applyFont="1" applyFill="1" applyBorder="1" applyAlignment="1">
      <alignment horizontal="center" vertical="center"/>
    </xf>
    <xf numFmtId="3" fontId="26" fillId="4" borderId="13" xfId="0" applyNumberFormat="1" applyFont="1" applyFill="1" applyBorder="1" applyAlignment="1">
      <alignment horizontal="center" vertical="center"/>
    </xf>
    <xf numFmtId="3" fontId="26" fillId="4" borderId="0" xfId="0" applyNumberFormat="1" applyFont="1" applyFill="1" applyAlignment="1">
      <alignment horizontal="center" vertical="center"/>
    </xf>
    <xf numFmtId="3" fontId="28" fillId="4" borderId="13" xfId="0" applyNumberFormat="1" applyFont="1" applyFill="1" applyBorder="1" applyAlignment="1">
      <alignment horizontal="center" vertical="center"/>
    </xf>
    <xf numFmtId="3" fontId="26" fillId="4" borderId="8" xfId="0" applyNumberFormat="1" applyFont="1" applyFill="1" applyBorder="1" applyAlignment="1">
      <alignment horizontal="center" vertical="center"/>
    </xf>
    <xf numFmtId="3" fontId="28" fillId="4" borderId="7" xfId="0" applyNumberFormat="1" applyFont="1" applyFill="1" applyBorder="1" applyAlignment="1">
      <alignment horizontal="center" vertical="center"/>
    </xf>
    <xf numFmtId="3" fontId="28" fillId="4" borderId="45" xfId="0" applyNumberFormat="1" applyFont="1" applyFill="1" applyBorder="1" applyAlignment="1">
      <alignment horizontal="center" vertical="center"/>
    </xf>
    <xf numFmtId="3" fontId="28" fillId="4" borderId="6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3" fontId="30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26" fillId="4" borderId="45" xfId="0" applyNumberFormat="1" applyFont="1" applyFill="1" applyBorder="1" applyAlignment="1">
      <alignment vertical="center"/>
    </xf>
    <xf numFmtId="3" fontId="31" fillId="4" borderId="45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26" fillId="4" borderId="23" xfId="0" applyNumberFormat="1" applyFont="1" applyFill="1" applyBorder="1" applyAlignment="1">
      <alignment vertical="center"/>
    </xf>
    <xf numFmtId="3" fontId="26" fillId="4" borderId="13" xfId="0" applyNumberFormat="1" applyFont="1" applyFill="1" applyBorder="1" applyAlignment="1">
      <alignment vertical="center"/>
    </xf>
    <xf numFmtId="3" fontId="31" fillId="4" borderId="13" xfId="0" applyNumberFormat="1" applyFont="1" applyFill="1" applyBorder="1" applyAlignment="1">
      <alignment vertical="center"/>
    </xf>
    <xf numFmtId="3" fontId="28" fillId="4" borderId="23" xfId="0" applyNumberFormat="1" applyFont="1" applyFill="1" applyBorder="1" applyAlignment="1">
      <alignment vertical="center"/>
    </xf>
    <xf numFmtId="3" fontId="33" fillId="4" borderId="45" xfId="0" applyNumberFormat="1" applyFont="1" applyFill="1" applyBorder="1" applyAlignment="1">
      <alignment vertical="center"/>
    </xf>
    <xf numFmtId="3" fontId="28" fillId="4" borderId="45" xfId="0" applyNumberFormat="1" applyFont="1" applyFill="1" applyBorder="1" applyAlignment="1">
      <alignment vertical="center"/>
    </xf>
    <xf numFmtId="3" fontId="31" fillId="4" borderId="12" xfId="0" applyNumberFormat="1" applyFont="1" applyFill="1" applyBorder="1" applyAlignment="1">
      <alignment vertical="center"/>
    </xf>
    <xf numFmtId="3" fontId="31" fillId="4" borderId="8" xfId="0" applyNumberFormat="1" applyFont="1" applyFill="1" applyBorder="1" applyAlignment="1">
      <alignment vertical="center"/>
    </xf>
    <xf numFmtId="3" fontId="33" fillId="4" borderId="13" xfId="0" applyNumberFormat="1" applyFont="1" applyFill="1" applyBorder="1" applyAlignment="1">
      <alignment vertical="center"/>
    </xf>
    <xf numFmtId="3" fontId="31" fillId="4" borderId="23" xfId="0" applyNumberFormat="1" applyFont="1" applyFill="1" applyBorder="1" applyAlignment="1">
      <alignment vertical="center"/>
    </xf>
    <xf numFmtId="3" fontId="31" fillId="4" borderId="9" xfId="0" applyNumberFormat="1" applyFont="1" applyFill="1" applyBorder="1" applyAlignment="1">
      <alignment vertical="center"/>
    </xf>
    <xf numFmtId="3" fontId="26" fillId="4" borderId="0" xfId="0" applyNumberFormat="1" applyFont="1" applyFill="1" applyAlignment="1">
      <alignment vertical="center"/>
    </xf>
    <xf numFmtId="3" fontId="28" fillId="4" borderId="9" xfId="0" applyNumberFormat="1" applyFont="1" applyFill="1" applyBorder="1" applyAlignment="1">
      <alignment vertical="center"/>
    </xf>
    <xf numFmtId="3" fontId="26" fillId="4" borderId="8" xfId="0" applyNumberFormat="1" applyFont="1" applyFill="1" applyBorder="1" applyAlignment="1">
      <alignment vertical="center"/>
    </xf>
    <xf numFmtId="3" fontId="31" fillId="4" borderId="0" xfId="0" applyNumberFormat="1" applyFont="1" applyFill="1" applyAlignment="1">
      <alignment vertical="center"/>
    </xf>
    <xf numFmtId="3" fontId="26" fillId="4" borderId="9" xfId="0" applyNumberFormat="1" applyFont="1" applyFill="1" applyBorder="1" applyAlignment="1">
      <alignment vertical="center"/>
    </xf>
    <xf numFmtId="3" fontId="1" fillId="4" borderId="33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8" fillId="2" borderId="5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8" fillId="0" borderId="0" xfId="0" applyFont="1">
      <alignment vertical="center"/>
    </xf>
    <xf numFmtId="3" fontId="35" fillId="3" borderId="44" xfId="0" applyNumberFormat="1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8" fillId="3" borderId="1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36" fillId="4" borderId="51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8" fillId="4" borderId="5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3" fontId="35" fillId="4" borderId="7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3" fontId="35" fillId="4" borderId="44" xfId="0" applyNumberFormat="1" applyFont="1" applyFill="1" applyBorder="1" applyAlignment="1">
      <alignment horizontal="center" vertical="center"/>
    </xf>
    <xf numFmtId="0" fontId="36" fillId="4" borderId="10" xfId="0" applyFont="1" applyFill="1" applyBorder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3" fontId="35" fillId="4" borderId="57" xfId="0" applyNumberFormat="1" applyFont="1" applyFill="1" applyBorder="1" applyAlignment="1">
      <alignment horizontal="center" vertical="center"/>
    </xf>
    <xf numFmtId="3" fontId="26" fillId="4" borderId="7" xfId="0" applyNumberFormat="1" applyFont="1" applyFill="1" applyBorder="1" applyAlignment="1">
      <alignment horizontal="left" vertical="center"/>
    </xf>
    <xf numFmtId="3" fontId="26" fillId="4" borderId="13" xfId="0" applyNumberFormat="1" applyFont="1" applyFill="1" applyBorder="1" applyAlignment="1">
      <alignment horizontal="left" vertical="center"/>
    </xf>
    <xf numFmtId="3" fontId="26" fillId="4" borderId="6" xfId="0" applyNumberFormat="1" applyFont="1" applyFill="1" applyBorder="1" applyAlignment="1">
      <alignment horizontal="left" vertical="center"/>
    </xf>
    <xf numFmtId="3" fontId="37" fillId="4" borderId="7" xfId="0" applyNumberFormat="1" applyFont="1" applyFill="1" applyBorder="1" applyAlignment="1">
      <alignment horizontal="left" vertical="center"/>
    </xf>
    <xf numFmtId="3" fontId="26" fillId="4" borderId="33" xfId="0" applyNumberFormat="1" applyFont="1" applyFill="1" applyBorder="1" applyAlignment="1">
      <alignment horizontal="left" vertical="center"/>
    </xf>
    <xf numFmtId="3" fontId="28" fillId="4" borderId="13" xfId="0" applyNumberFormat="1" applyFont="1" applyFill="1" applyBorder="1" applyAlignment="1">
      <alignment horizontal="left" vertical="center"/>
    </xf>
    <xf numFmtId="3" fontId="26" fillId="4" borderId="0" xfId="0" applyNumberFormat="1" applyFont="1" applyFill="1" applyAlignment="1">
      <alignment horizontal="left" vertical="center"/>
    </xf>
    <xf numFmtId="3" fontId="28" fillId="4" borderId="7" xfId="0" applyNumberFormat="1" applyFont="1" applyFill="1" applyBorder="1" applyAlignment="1">
      <alignment horizontal="left" vertical="center"/>
    </xf>
    <xf numFmtId="3" fontId="28" fillId="4" borderId="33" xfId="0" applyNumberFormat="1" applyFont="1" applyFill="1" applyBorder="1" applyAlignment="1">
      <alignment horizontal="left" vertical="center"/>
    </xf>
    <xf numFmtId="0" fontId="3" fillId="0" borderId="5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3" fillId="3" borderId="52" xfId="0" applyFont="1" applyFill="1" applyBorder="1" applyAlignment="1">
      <alignment vertical="center"/>
    </xf>
    <xf numFmtId="0" fontId="23" fillId="3" borderId="51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23" fillId="3" borderId="8" xfId="0" applyFont="1" applyFill="1" applyBorder="1" applyAlignment="1">
      <alignment vertical="center"/>
    </xf>
    <xf numFmtId="0" fontId="23" fillId="3" borderId="21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24" fillId="3" borderId="15" xfId="0" applyFont="1" applyFill="1" applyBorder="1" applyAlignment="1">
      <alignment vertical="center"/>
    </xf>
    <xf numFmtId="3" fontId="24" fillId="3" borderId="17" xfId="0" applyNumberFormat="1" applyFont="1" applyFill="1" applyBorder="1" applyAlignment="1">
      <alignment vertical="center"/>
    </xf>
    <xf numFmtId="3" fontId="23" fillId="3" borderId="30" xfId="0" applyNumberFormat="1" applyFont="1" applyFill="1" applyBorder="1" applyAlignment="1">
      <alignment vertical="center"/>
    </xf>
    <xf numFmtId="0" fontId="6" fillId="4" borderId="52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24" fillId="4" borderId="17" xfId="0" applyFont="1" applyFill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9" xfId="0" applyFont="1" applyFill="1" applyBorder="1" applyAlignment="1">
      <alignment vertical="center"/>
    </xf>
    <xf numFmtId="0" fontId="23" fillId="4" borderId="51" xfId="0" applyFont="1" applyFill="1" applyBorder="1" applyAlignment="1">
      <alignment vertical="center"/>
    </xf>
    <xf numFmtId="0" fontId="23" fillId="4" borderId="0" xfId="0" applyFont="1" applyFill="1" applyAlignment="1">
      <alignment vertical="center"/>
    </xf>
    <xf numFmtId="0" fontId="23" fillId="4" borderId="47" xfId="0" applyFont="1" applyFill="1" applyBorder="1" applyAlignment="1">
      <alignment vertical="center"/>
    </xf>
    <xf numFmtId="0" fontId="23" fillId="4" borderId="52" xfId="0" applyFont="1" applyFill="1" applyBorder="1" applyAlignment="1">
      <alignment vertical="center"/>
    </xf>
    <xf numFmtId="3" fontId="24" fillId="4" borderId="17" xfId="0" applyNumberFormat="1" applyFont="1" applyFill="1" applyBorder="1" applyAlignment="1">
      <alignment vertical="center"/>
    </xf>
    <xf numFmtId="3" fontId="23" fillId="4" borderId="10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3" fontId="23" fillId="3" borderId="33" xfId="0" applyNumberFormat="1" applyFont="1" applyFill="1" applyBorder="1" applyAlignment="1">
      <alignment vertical="center"/>
    </xf>
    <xf numFmtId="0" fontId="24" fillId="3" borderId="17" xfId="0" applyFont="1" applyFill="1" applyBorder="1" applyAlignment="1">
      <alignment vertical="center"/>
    </xf>
    <xf numFmtId="3" fontId="23" fillId="3" borderId="8" xfId="0" applyNumberFormat="1" applyFont="1" applyFill="1" applyBorder="1" applyAlignment="1">
      <alignment vertical="center"/>
    </xf>
    <xf numFmtId="3" fontId="23" fillId="3" borderId="22" xfId="0" applyNumberFormat="1" applyFont="1" applyFill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3" fontId="23" fillId="3" borderId="31" xfId="0" applyNumberFormat="1" applyFont="1" applyFill="1" applyBorder="1" applyAlignment="1">
      <alignment vertical="center"/>
    </xf>
    <xf numFmtId="0" fontId="3" fillId="4" borderId="52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3" fillId="4" borderId="8" xfId="0" applyFont="1" applyFill="1" applyBorder="1" applyAlignment="1">
      <alignment vertical="center"/>
    </xf>
    <xf numFmtId="3" fontId="23" fillId="4" borderId="9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3" fontId="23" fillId="4" borderId="0" xfId="0" applyNumberFormat="1" applyFont="1" applyFill="1" applyAlignment="1">
      <alignment vertical="center"/>
    </xf>
    <xf numFmtId="3" fontId="23" fillId="4" borderId="22" xfId="0" applyNumberFormat="1" applyFont="1" applyFill="1" applyBorder="1" applyAlignment="1">
      <alignment vertical="center"/>
    </xf>
    <xf numFmtId="0" fontId="23" fillId="3" borderId="22" xfId="0" applyFont="1" applyFill="1" applyBorder="1" applyAlignment="1">
      <alignment vertical="center"/>
    </xf>
    <xf numFmtId="0" fontId="24" fillId="3" borderId="9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23" fillId="4" borderId="9" xfId="0" applyFont="1" applyFill="1" applyBorder="1" applyAlignment="1">
      <alignment vertical="center"/>
    </xf>
    <xf numFmtId="0" fontId="3" fillId="4" borderId="51" xfId="0" applyFont="1" applyFill="1" applyBorder="1" applyAlignment="1">
      <alignment vertical="center"/>
    </xf>
    <xf numFmtId="3" fontId="25" fillId="4" borderId="9" xfId="0" applyNumberFormat="1" applyFont="1" applyFill="1" applyBorder="1" applyAlignment="1">
      <alignment vertical="center"/>
    </xf>
    <xf numFmtId="3" fontId="23" fillId="4" borderId="18" xfId="0" applyNumberFormat="1" applyFont="1" applyFill="1" applyBorder="1" applyAlignment="1">
      <alignment vertical="center"/>
    </xf>
    <xf numFmtId="3" fontId="23" fillId="4" borderId="21" xfId="0" applyNumberFormat="1" applyFont="1" applyFill="1" applyBorder="1" applyAlignment="1">
      <alignment vertical="center"/>
    </xf>
    <xf numFmtId="3" fontId="24" fillId="4" borderId="9" xfId="0" applyNumberFormat="1" applyFont="1" applyFill="1" applyBorder="1" applyAlignment="1">
      <alignment vertical="center"/>
    </xf>
    <xf numFmtId="0" fontId="25" fillId="3" borderId="52" xfId="0" applyFont="1" applyFill="1" applyBorder="1" applyAlignment="1">
      <alignment vertical="center"/>
    </xf>
    <xf numFmtId="0" fontId="25" fillId="3" borderId="8" xfId="0" applyFont="1" applyFill="1" applyBorder="1" applyAlignment="1">
      <alignment vertical="center"/>
    </xf>
    <xf numFmtId="3" fontId="25" fillId="3" borderId="9" xfId="0" applyNumberFormat="1" applyFont="1" applyFill="1" applyBorder="1" applyAlignment="1">
      <alignment vertical="center"/>
    </xf>
    <xf numFmtId="0" fontId="23" fillId="3" borderId="9" xfId="0" applyFont="1" applyFill="1" applyBorder="1" applyAlignment="1">
      <alignment vertical="center"/>
    </xf>
    <xf numFmtId="3" fontId="23" fillId="3" borderId="10" xfId="0" applyNumberFormat="1" applyFont="1" applyFill="1" applyBorder="1" applyAlignment="1">
      <alignment vertical="center"/>
    </xf>
    <xf numFmtId="3" fontId="23" fillId="4" borderId="17" xfId="0" applyNumberFormat="1" applyFont="1" applyFill="1" applyBorder="1" applyAlignment="1">
      <alignment vertical="center"/>
    </xf>
    <xf numFmtId="3" fontId="23" fillId="4" borderId="8" xfId="0" applyNumberFormat="1" applyFont="1" applyFill="1" applyBorder="1" applyAlignment="1">
      <alignment vertical="center"/>
    </xf>
    <xf numFmtId="0" fontId="3" fillId="3" borderId="51" xfId="0" applyFont="1" applyFill="1" applyBorder="1" applyAlignment="1">
      <alignment vertical="center"/>
    </xf>
    <xf numFmtId="0" fontId="23" fillId="3" borderId="31" xfId="0" applyFont="1" applyFill="1" applyBorder="1" applyAlignment="1">
      <alignment vertical="center"/>
    </xf>
    <xf numFmtId="0" fontId="23" fillId="4" borderId="10" xfId="0" applyFont="1" applyFill="1" applyBorder="1" applyAlignment="1">
      <alignment vertical="center"/>
    </xf>
    <xf numFmtId="0" fontId="24" fillId="4" borderId="8" xfId="0" applyFont="1" applyFill="1" applyBorder="1" applyAlignment="1">
      <alignment vertical="center"/>
    </xf>
    <xf numFmtId="3" fontId="31" fillId="3" borderId="13" xfId="0" applyNumberFormat="1" applyFont="1" applyFill="1" applyBorder="1" applyAlignment="1">
      <alignment horizontal="left" vertical="center"/>
    </xf>
    <xf numFmtId="3" fontId="33" fillId="3" borderId="7" xfId="0" applyNumberFormat="1" applyFont="1" applyFill="1" applyBorder="1" applyAlignment="1">
      <alignment horizontal="left" vertical="center"/>
    </xf>
    <xf numFmtId="3" fontId="31" fillId="3" borderId="7" xfId="0" applyNumberFormat="1" applyFont="1" applyFill="1" applyBorder="1" applyAlignment="1">
      <alignment horizontal="left" vertical="center"/>
    </xf>
    <xf numFmtId="3" fontId="33" fillId="3" borderId="13" xfId="0" applyNumberFormat="1" applyFont="1" applyFill="1" applyBorder="1" applyAlignment="1">
      <alignment horizontal="left" vertical="center"/>
    </xf>
    <xf numFmtId="3" fontId="32" fillId="3" borderId="13" xfId="0" applyNumberFormat="1" applyFont="1" applyFill="1" applyBorder="1" applyAlignment="1">
      <alignment horizontal="left" vertical="center"/>
    </xf>
    <xf numFmtId="3" fontId="34" fillId="3" borderId="7" xfId="0" applyNumberFormat="1" applyFont="1" applyFill="1" applyBorder="1" applyAlignment="1">
      <alignment horizontal="left" vertical="center"/>
    </xf>
    <xf numFmtId="3" fontId="31" fillId="3" borderId="13" xfId="0" applyNumberFormat="1" applyFont="1" applyFill="1" applyBorder="1" applyAlignment="1">
      <alignment vertical="center"/>
    </xf>
    <xf numFmtId="3" fontId="33" fillId="3" borderId="45" xfId="0" applyNumberFormat="1" applyFont="1" applyFill="1" applyBorder="1" applyAlignment="1">
      <alignment vertical="center"/>
    </xf>
    <xf numFmtId="3" fontId="31" fillId="3" borderId="45" xfId="0" applyNumberFormat="1" applyFont="1" applyFill="1" applyBorder="1" applyAlignment="1">
      <alignment vertical="center"/>
    </xf>
    <xf numFmtId="3" fontId="33" fillId="3" borderId="13" xfId="0" applyNumberFormat="1" applyFont="1" applyFill="1" applyBorder="1" applyAlignment="1">
      <alignment vertical="center"/>
    </xf>
    <xf numFmtId="3" fontId="3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3" fontId="12" fillId="3" borderId="44" xfId="0" applyNumberFormat="1" applyFont="1" applyFill="1" applyBorder="1" applyAlignment="1">
      <alignment horizontal="center" vertical="center"/>
    </xf>
    <xf numFmtId="3" fontId="9" fillId="3" borderId="21" xfId="0" applyNumberFormat="1" applyFont="1" applyFill="1" applyBorder="1" applyAlignment="1">
      <alignment horizontal="center" vertical="center"/>
    </xf>
    <xf numFmtId="3" fontId="13" fillId="3" borderId="13" xfId="0" applyNumberFormat="1" applyFont="1" applyFill="1" applyBorder="1" applyAlignment="1">
      <alignment horizontal="center" vertical="center"/>
    </xf>
    <xf numFmtId="3" fontId="13" fillId="3" borderId="8" xfId="0" applyNumberFormat="1" applyFont="1" applyFill="1" applyBorder="1" applyAlignment="1">
      <alignment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vertical="center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horizontal="right" vertical="center"/>
    </xf>
    <xf numFmtId="3" fontId="14" fillId="3" borderId="8" xfId="0" applyNumberFormat="1" applyFont="1" applyFill="1" applyBorder="1" applyAlignment="1">
      <alignment horizontal="right" vertical="center"/>
    </xf>
    <xf numFmtId="3" fontId="13" fillId="3" borderId="13" xfId="0" applyNumberFormat="1" applyFont="1" applyFill="1" applyBorder="1" applyAlignment="1">
      <alignment horizontal="right" vertical="center"/>
    </xf>
    <xf numFmtId="3" fontId="14" fillId="3" borderId="7" xfId="0" applyNumberFormat="1" applyFont="1" applyFill="1" applyBorder="1" applyAlignment="1">
      <alignment horizontal="center" vertical="center"/>
    </xf>
    <xf numFmtId="3" fontId="14" fillId="3" borderId="33" xfId="0" applyNumberFormat="1" applyFont="1" applyFill="1" applyBorder="1" applyAlignment="1">
      <alignment vertical="center"/>
    </xf>
    <xf numFmtId="3" fontId="15" fillId="3" borderId="7" xfId="0" applyNumberFormat="1" applyFont="1" applyFill="1" applyBorder="1" applyAlignment="1">
      <alignment horizontal="center" vertical="center"/>
    </xf>
    <xf numFmtId="3" fontId="16" fillId="3" borderId="33" xfId="0" applyNumberFormat="1" applyFont="1" applyFill="1" applyBorder="1" applyAlignment="1">
      <alignment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3" borderId="33" xfId="0" applyNumberFormat="1" applyFont="1" applyFill="1" applyBorder="1" applyAlignment="1">
      <alignment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right" vertical="center"/>
    </xf>
    <xf numFmtId="3" fontId="13" fillId="3" borderId="45" xfId="0" applyNumberFormat="1" applyFont="1" applyFill="1" applyBorder="1" applyAlignment="1">
      <alignment horizontal="center" vertical="center"/>
    </xf>
    <xf numFmtId="3" fontId="15" fillId="3" borderId="9" xfId="0" applyNumberFormat="1" applyFont="1" applyFill="1" applyBorder="1" applyAlignment="1">
      <alignment horizontal="right" vertical="center"/>
    </xf>
    <xf numFmtId="3" fontId="13" fillId="3" borderId="9" xfId="0" applyNumberFormat="1" applyFont="1" applyFill="1" applyBorder="1" applyAlignment="1">
      <alignment horizontal="right" vertical="center"/>
    </xf>
    <xf numFmtId="3" fontId="13" fillId="3" borderId="45" xfId="0" applyNumberFormat="1" applyFont="1" applyFill="1" applyBorder="1" applyAlignment="1">
      <alignment horizontal="right" vertical="center"/>
    </xf>
    <xf numFmtId="3" fontId="17" fillId="3" borderId="8" xfId="0" applyNumberFormat="1" applyFont="1" applyFill="1" applyBorder="1" applyAlignment="1">
      <alignment vertical="center"/>
    </xf>
    <xf numFmtId="3" fontId="10" fillId="3" borderId="8" xfId="0" applyNumberFormat="1" applyFont="1" applyFill="1" applyBorder="1" applyAlignment="1">
      <alignment vertical="center"/>
    </xf>
    <xf numFmtId="3" fontId="18" fillId="3" borderId="8" xfId="0" applyNumberFormat="1" applyFont="1" applyFill="1" applyBorder="1" applyAlignment="1">
      <alignment vertical="center"/>
    </xf>
    <xf numFmtId="3" fontId="19" fillId="3" borderId="13" xfId="0" applyNumberFormat="1" applyFont="1" applyFill="1" applyBorder="1" applyAlignment="1">
      <alignment vertical="center"/>
    </xf>
    <xf numFmtId="3" fontId="15" fillId="3" borderId="13" xfId="0" applyNumberFormat="1" applyFont="1" applyFill="1" applyBorder="1" applyAlignment="1">
      <alignment horizontal="center" vertical="center"/>
    </xf>
    <xf numFmtId="3" fontId="19" fillId="3" borderId="13" xfId="0" applyNumberFormat="1" applyFont="1" applyFill="1" applyBorder="1" applyAlignment="1">
      <alignment horizontal="right" vertical="center"/>
    </xf>
    <xf numFmtId="3" fontId="19" fillId="3" borderId="7" xfId="0" applyNumberFormat="1" applyFont="1" applyFill="1" applyBorder="1" applyAlignment="1">
      <alignment vertical="center"/>
    </xf>
    <xf numFmtId="3" fontId="15" fillId="3" borderId="33" xfId="0" applyNumberFormat="1" applyFont="1" applyFill="1" applyBorder="1" applyAlignment="1">
      <alignment vertical="center"/>
    </xf>
    <xf numFmtId="3" fontId="10" fillId="3" borderId="33" xfId="0" applyNumberFormat="1" applyFont="1" applyFill="1" applyBorder="1" applyAlignment="1">
      <alignment vertical="center"/>
    </xf>
    <xf numFmtId="3" fontId="19" fillId="3" borderId="7" xfId="0" applyNumberFormat="1" applyFont="1" applyFill="1" applyBorder="1" applyAlignment="1">
      <alignment horizontal="left" vertical="center"/>
    </xf>
    <xf numFmtId="3" fontId="19" fillId="3" borderId="45" xfId="0" applyNumberFormat="1" applyFont="1" applyFill="1" applyBorder="1" applyAlignment="1">
      <alignment horizontal="right" vertical="center"/>
    </xf>
    <xf numFmtId="3" fontId="15" fillId="3" borderId="8" xfId="0" applyNumberFormat="1" applyFont="1" applyFill="1" applyBorder="1" applyAlignment="1">
      <alignment vertical="center"/>
    </xf>
    <xf numFmtId="3" fontId="19" fillId="3" borderId="13" xfId="0" applyNumberFormat="1" applyFont="1" applyFill="1" applyBorder="1" applyAlignment="1">
      <alignment horizontal="left" vertical="center"/>
    </xf>
    <xf numFmtId="3" fontId="20" fillId="3" borderId="13" xfId="0" applyNumberFormat="1" applyFont="1" applyFill="1" applyBorder="1" applyAlignment="1">
      <alignment horizontal="left" vertical="center"/>
    </xf>
    <xf numFmtId="3" fontId="15" fillId="3" borderId="8" xfId="0" applyNumberFormat="1" applyFont="1" applyFill="1" applyBorder="1" applyAlignment="1">
      <alignment horizontal="right" vertical="center"/>
    </xf>
    <xf numFmtId="3" fontId="20" fillId="3" borderId="13" xfId="0" applyNumberFormat="1" applyFont="1" applyFill="1" applyBorder="1" applyAlignment="1">
      <alignment horizontal="right" vertical="center"/>
    </xf>
    <xf numFmtId="3" fontId="21" fillId="3" borderId="7" xfId="0" applyNumberFormat="1" applyFont="1" applyFill="1" applyBorder="1" applyAlignment="1">
      <alignment vertical="center"/>
    </xf>
    <xf numFmtId="3" fontId="15" fillId="3" borderId="33" xfId="0" applyNumberFormat="1" applyFont="1" applyFill="1" applyBorder="1" applyAlignment="1">
      <alignment horizontal="center" vertical="center"/>
    </xf>
    <xf numFmtId="3" fontId="19" fillId="3" borderId="6" xfId="0" applyNumberFormat="1" applyFont="1" applyFill="1" applyBorder="1" applyAlignment="1">
      <alignment horizontal="left" vertical="center"/>
    </xf>
    <xf numFmtId="3" fontId="19" fillId="3" borderId="7" xfId="0" applyNumberFormat="1" applyFont="1" applyFill="1" applyBorder="1" applyAlignment="1">
      <alignment horizontal="right" vertical="center"/>
    </xf>
    <xf numFmtId="3" fontId="15" fillId="3" borderId="45" xfId="0" applyNumberFormat="1" applyFont="1" applyFill="1" applyBorder="1" applyAlignment="1">
      <alignment horizontal="center" vertical="center"/>
    </xf>
    <xf numFmtId="3" fontId="15" fillId="3" borderId="45" xfId="0" applyNumberFormat="1" applyFont="1" applyFill="1" applyBorder="1" applyAlignment="1">
      <alignment horizontal="right" vertical="center"/>
    </xf>
    <xf numFmtId="3" fontId="15" fillId="3" borderId="9" xfId="0" applyNumberFormat="1" applyFont="1" applyFill="1" applyBorder="1" applyAlignment="1">
      <alignment horizontal="center" vertical="center"/>
    </xf>
    <xf numFmtId="3" fontId="19" fillId="3" borderId="23" xfId="0" applyNumberFormat="1" applyFont="1" applyFill="1" applyBorder="1" applyAlignment="1">
      <alignment horizontal="right" vertical="center"/>
    </xf>
    <xf numFmtId="3" fontId="15" fillId="3" borderId="0" xfId="0" applyNumberFormat="1" applyFont="1" applyFill="1" applyAlignment="1">
      <alignment vertical="center"/>
    </xf>
    <xf numFmtId="3" fontId="15" fillId="3" borderId="13" xfId="0" applyNumberFormat="1" applyFont="1" applyFill="1" applyBorder="1" applyAlignment="1">
      <alignment vertical="center"/>
    </xf>
    <xf numFmtId="3" fontId="19" fillId="3" borderId="45" xfId="0" applyNumberFormat="1" applyFont="1" applyFill="1" applyBorder="1" applyAlignment="1">
      <alignment horizontal="center" vertical="center"/>
    </xf>
    <xf numFmtId="3" fontId="19" fillId="3" borderId="10" xfId="0" applyNumberFormat="1" applyFont="1" applyFill="1" applyBorder="1" applyAlignment="1">
      <alignment horizontal="right" vertical="center"/>
    </xf>
    <xf numFmtId="3" fontId="19" fillId="3" borderId="13" xfId="0" applyNumberFormat="1" applyFont="1" applyFill="1" applyBorder="1" applyAlignment="1">
      <alignment horizontal="center" vertical="center"/>
    </xf>
    <xf numFmtId="3" fontId="19" fillId="3" borderId="7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3" fontId="3" fillId="4" borderId="10" xfId="0" applyNumberFormat="1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3" fontId="26" fillId="4" borderId="6" xfId="0" applyNumberFormat="1" applyFont="1" applyFill="1" applyBorder="1" applyAlignment="1">
      <alignment vertical="center"/>
    </xf>
    <xf numFmtId="3" fontId="26" fillId="4" borderId="7" xfId="0" applyNumberFormat="1" applyFont="1" applyFill="1" applyBorder="1" applyAlignment="1">
      <alignment vertical="center"/>
    </xf>
    <xf numFmtId="3" fontId="26" fillId="4" borderId="12" xfId="0" applyNumberFormat="1" applyFont="1" applyFill="1" applyBorder="1" applyAlignment="1">
      <alignment horizontal="right" vertical="center"/>
    </xf>
    <xf numFmtId="3" fontId="26" fillId="4" borderId="13" xfId="0" applyNumberFormat="1" applyFont="1" applyFill="1" applyBorder="1" applyAlignment="1">
      <alignment horizontal="right" vertical="center"/>
    </xf>
    <xf numFmtId="3" fontId="27" fillId="4" borderId="6" xfId="0" applyNumberFormat="1" applyFont="1" applyFill="1" applyBorder="1" applyAlignment="1">
      <alignment vertical="center"/>
    </xf>
    <xf numFmtId="3" fontId="27" fillId="4" borderId="7" xfId="0" applyNumberFormat="1" applyFont="1" applyFill="1" applyBorder="1" applyAlignment="1">
      <alignment vertical="center"/>
    </xf>
    <xf numFmtId="3" fontId="26" fillId="4" borderId="23" xfId="0" applyNumberFormat="1" applyFont="1" applyFill="1" applyBorder="1" applyAlignment="1">
      <alignment horizontal="right" vertical="center"/>
    </xf>
    <xf numFmtId="3" fontId="26" fillId="4" borderId="45" xfId="0" applyNumberFormat="1" applyFont="1" applyFill="1" applyBorder="1" applyAlignment="1">
      <alignment horizontal="right" vertical="center"/>
    </xf>
    <xf numFmtId="3" fontId="26" fillId="4" borderId="12" xfId="0" applyNumberFormat="1" applyFont="1" applyFill="1" applyBorder="1" applyAlignment="1">
      <alignment vertical="center"/>
    </xf>
    <xf numFmtId="3" fontId="28" fillId="4" borderId="12" xfId="0" applyNumberFormat="1" applyFont="1" applyFill="1" applyBorder="1" applyAlignment="1">
      <alignment vertical="center"/>
    </xf>
    <xf numFmtId="3" fontId="29" fillId="4" borderId="12" xfId="0" applyNumberFormat="1" applyFont="1" applyFill="1" applyBorder="1" applyAlignment="1">
      <alignment vertical="center"/>
    </xf>
    <xf numFmtId="3" fontId="28" fillId="4" borderId="12" xfId="0" applyNumberFormat="1" applyFont="1" applyFill="1" applyBorder="1" applyAlignment="1">
      <alignment horizontal="right" vertical="center"/>
    </xf>
    <xf numFmtId="3" fontId="27" fillId="4" borderId="18" xfId="0" applyNumberFormat="1" applyFont="1" applyFill="1" applyBorder="1" applyAlignment="1">
      <alignment vertical="center"/>
    </xf>
    <xf numFmtId="3" fontId="29" fillId="4" borderId="6" xfId="0" applyNumberFormat="1" applyFont="1" applyFill="1" applyBorder="1" applyAlignment="1">
      <alignment vertical="center"/>
    </xf>
    <xf numFmtId="3" fontId="26" fillId="4" borderId="10" xfId="0" applyNumberFormat="1" applyFont="1" applyFill="1" applyBorder="1" applyAlignment="1">
      <alignment horizontal="right" vertical="center"/>
    </xf>
    <xf numFmtId="3" fontId="28" fillId="4" borderId="23" xfId="0" applyNumberFormat="1" applyFont="1" applyFill="1" applyBorder="1" applyAlignment="1">
      <alignment horizontal="right" vertical="center"/>
    </xf>
    <xf numFmtId="3" fontId="29" fillId="4" borderId="7" xfId="0" applyNumberFormat="1" applyFont="1" applyFill="1" applyBorder="1" applyAlignment="1">
      <alignment vertical="center"/>
    </xf>
    <xf numFmtId="3" fontId="27" fillId="4" borderId="33" xfId="0" applyNumberFormat="1" applyFont="1" applyFill="1" applyBorder="1" applyAlignment="1">
      <alignment vertical="center"/>
    </xf>
    <xf numFmtId="3" fontId="28" fillId="4" borderId="45" xfId="0" applyNumberFormat="1" applyFont="1" applyFill="1" applyBorder="1" applyAlignment="1">
      <alignment horizontal="right" vertical="center"/>
    </xf>
    <xf numFmtId="3" fontId="28" fillId="4" borderId="13" xfId="0" applyNumberFormat="1" applyFont="1" applyFill="1" applyBorder="1" applyAlignment="1">
      <alignment vertical="center"/>
    </xf>
    <xf numFmtId="3" fontId="27" fillId="4" borderId="13" xfId="0" applyNumberFormat="1" applyFont="1" applyFill="1" applyBorder="1" applyAlignment="1">
      <alignment vertical="center"/>
    </xf>
    <xf numFmtId="3" fontId="28" fillId="4" borderId="13" xfId="0" applyNumberFormat="1" applyFont="1" applyFill="1" applyBorder="1" applyAlignment="1">
      <alignment horizontal="right" vertical="center"/>
    </xf>
    <xf numFmtId="3" fontId="27" fillId="0" borderId="0" xfId="0" applyNumberFormat="1" applyFont="1" applyAlignment="1">
      <alignment vertical="center"/>
    </xf>
    <xf numFmtId="3" fontId="26" fillId="0" borderId="0" xfId="0" applyNumberFormat="1" applyFont="1" applyAlignment="1">
      <alignment horizontal="right" vertical="center"/>
    </xf>
    <xf numFmtId="3" fontId="27" fillId="4" borderId="8" xfId="0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2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2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22" fillId="3" borderId="20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2" fillId="3" borderId="8" xfId="0" applyFont="1" applyFill="1" applyBorder="1" applyAlignment="1">
      <alignment vertical="center"/>
    </xf>
    <xf numFmtId="1" fontId="22" fillId="3" borderId="9" xfId="0" applyNumberFormat="1" applyFont="1" applyFill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3" fontId="23" fillId="3" borderId="9" xfId="0" applyNumberFormat="1" applyFont="1" applyFill="1" applyBorder="1" applyAlignment="1">
      <alignment vertical="center"/>
    </xf>
    <xf numFmtId="3" fontId="22" fillId="3" borderId="21" xfId="0" applyNumberFormat="1" applyFont="1" applyFill="1" applyBorder="1" applyAlignment="1">
      <alignment vertical="center"/>
    </xf>
    <xf numFmtId="3" fontId="22" fillId="3" borderId="22" xfId="0" applyNumberFormat="1" applyFont="1" applyFill="1" applyBorder="1" applyAlignment="1">
      <alignment vertical="center"/>
    </xf>
    <xf numFmtId="3" fontId="24" fillId="3" borderId="15" xfId="0" applyNumberFormat="1" applyFont="1" applyFill="1" applyBorder="1" applyAlignment="1">
      <alignment vertical="center"/>
    </xf>
    <xf numFmtId="1" fontId="3" fillId="3" borderId="8" xfId="0" applyNumberFormat="1" applyFont="1" applyFill="1" applyBorder="1" applyAlignment="1">
      <alignment vertical="center"/>
    </xf>
    <xf numFmtId="1" fontId="24" fillId="3" borderId="17" xfId="0" applyNumberFormat="1" applyFont="1" applyFill="1" applyBorder="1" applyAlignment="1">
      <alignment vertical="center"/>
    </xf>
    <xf numFmtId="0" fontId="24" fillId="3" borderId="11" xfId="0" applyFont="1" applyFill="1" applyBorder="1" applyAlignment="1">
      <alignment vertical="center"/>
    </xf>
    <xf numFmtId="0" fontId="24" fillId="3" borderId="8" xfId="0" applyFont="1" applyFill="1" applyBorder="1" applyAlignment="1">
      <alignment vertical="center"/>
    </xf>
    <xf numFmtId="3" fontId="24" fillId="3" borderId="25" xfId="0" applyNumberFormat="1" applyFont="1" applyFill="1" applyBorder="1" applyAlignment="1">
      <alignment vertical="center"/>
    </xf>
    <xf numFmtId="0" fontId="24" fillId="3" borderId="25" xfId="0" applyFont="1" applyFill="1" applyBorder="1" applyAlignment="1">
      <alignment vertical="center"/>
    </xf>
    <xf numFmtId="3" fontId="22" fillId="3" borderId="11" xfId="0" applyNumberFormat="1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3" fillId="3" borderId="32" xfId="0" applyFont="1" applyFill="1" applyBorder="1" applyAlignment="1">
      <alignment vertical="center"/>
    </xf>
    <xf numFmtId="3" fontId="3" fillId="4" borderId="9" xfId="0" applyNumberFormat="1" applyFont="1" applyFill="1" applyBorder="1" applyAlignment="1">
      <alignment vertical="center"/>
    </xf>
    <xf numFmtId="3" fontId="3" fillId="4" borderId="11" xfId="0" applyNumberFormat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vertical="center"/>
    </xf>
    <xf numFmtId="1" fontId="3" fillId="4" borderId="9" xfId="0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24" fillId="4" borderId="22" xfId="0" applyFont="1" applyFill="1" applyBorder="1" applyAlignment="1">
      <alignment vertical="center"/>
    </xf>
    <xf numFmtId="0" fontId="23" fillId="4" borderId="21" xfId="0" applyFont="1" applyFill="1" applyBorder="1" applyAlignment="1">
      <alignment vertical="center"/>
    </xf>
    <xf numFmtId="3" fontId="24" fillId="4" borderId="11" xfId="0" applyNumberFormat="1" applyFont="1" applyFill="1" applyBorder="1" applyAlignment="1">
      <alignment vertical="center"/>
    </xf>
    <xf numFmtId="3" fontId="24" fillId="4" borderId="21" xfId="0" applyNumberFormat="1" applyFont="1" applyFill="1" applyBorder="1" applyAlignment="1">
      <alignment vertical="center"/>
    </xf>
    <xf numFmtId="1" fontId="24" fillId="4" borderId="17" xfId="0" applyNumberFormat="1" applyFont="1" applyFill="1" applyBorder="1" applyAlignment="1">
      <alignment vertical="center"/>
    </xf>
    <xf numFmtId="0" fontId="22" fillId="4" borderId="21" xfId="0" applyFont="1" applyFill="1" applyBorder="1" applyAlignment="1">
      <alignment vertical="center"/>
    </xf>
    <xf numFmtId="3" fontId="22" fillId="4" borderId="21" xfId="0" applyNumberFormat="1" applyFont="1" applyFill="1" applyBorder="1" applyAlignment="1">
      <alignment vertical="center"/>
    </xf>
    <xf numFmtId="3" fontId="24" fillId="4" borderId="8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23" fillId="4" borderId="31" xfId="0" applyFont="1" applyFill="1" applyBorder="1" applyAlignment="1">
      <alignment vertical="center"/>
    </xf>
    <xf numFmtId="3" fontId="23" fillId="4" borderId="30" xfId="0" applyNumberFormat="1" applyFont="1" applyFill="1" applyBorder="1" applyAlignment="1">
      <alignment vertical="center"/>
    </xf>
    <xf numFmtId="3" fontId="24" fillId="4" borderId="36" xfId="0" applyNumberFormat="1" applyFont="1" applyFill="1" applyBorder="1" applyAlignment="1">
      <alignment vertical="center"/>
    </xf>
    <xf numFmtId="3" fontId="23" fillId="4" borderId="31" xfId="0" applyNumberFormat="1" applyFont="1" applyFill="1" applyBorder="1" applyAlignment="1">
      <alignment vertical="center"/>
    </xf>
    <xf numFmtId="3" fontId="23" fillId="4" borderId="32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23" fillId="4" borderId="40" xfId="0" applyFont="1" applyFill="1" applyBorder="1" applyAlignment="1">
      <alignment vertical="center"/>
    </xf>
    <xf numFmtId="3" fontId="23" fillId="4" borderId="39" xfId="0" applyNumberFormat="1" applyFont="1" applyFill="1" applyBorder="1" applyAlignment="1">
      <alignment vertical="center"/>
    </xf>
    <xf numFmtId="3" fontId="24" fillId="4" borderId="39" xfId="0" applyNumberFormat="1" applyFont="1" applyFill="1" applyBorder="1" applyAlignment="1">
      <alignment vertical="center"/>
    </xf>
    <xf numFmtId="0" fontId="3" fillId="4" borderId="4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30" fillId="4" borderId="45" xfId="0" applyFont="1" applyFill="1" applyBorder="1" applyAlignment="1">
      <alignment horizontal="center" vertical="center"/>
    </xf>
    <xf numFmtId="3" fontId="25" fillId="4" borderId="8" xfId="0" applyNumberFormat="1" applyFont="1" applyFill="1" applyBorder="1" applyAlignment="1">
      <alignment vertical="center"/>
    </xf>
    <xf numFmtId="1" fontId="3" fillId="0" borderId="9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24" fillId="4" borderId="34" xfId="0" applyNumberFormat="1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3" borderId="44" xfId="0" applyFont="1" applyFill="1" applyBorder="1">
      <alignment vertical="center"/>
    </xf>
    <xf numFmtId="0" fontId="9" fillId="3" borderId="21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3" xfId="0" applyFont="1" applyFill="1" applyBorder="1">
      <alignment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right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8" xfId="0" applyFont="1" applyFill="1" applyBorder="1">
      <alignment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8" xfId="0" applyFont="1" applyFill="1" applyBorder="1">
      <alignment vertical="center"/>
    </xf>
    <xf numFmtId="0" fontId="13" fillId="3" borderId="8" xfId="0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right" vertical="center"/>
    </xf>
    <xf numFmtId="0" fontId="13" fillId="3" borderId="9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33" xfId="0" applyFont="1" applyFill="1" applyBorder="1">
      <alignment vertical="center"/>
    </xf>
    <xf numFmtId="0" fontId="39" fillId="3" borderId="33" xfId="0" applyFont="1" applyFill="1" applyBorder="1">
      <alignment vertical="center"/>
    </xf>
    <xf numFmtId="0" fontId="15" fillId="3" borderId="4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right" vertical="center"/>
    </xf>
    <xf numFmtId="0" fontId="18" fillId="3" borderId="8" xfId="0" applyFont="1" applyFill="1" applyBorder="1">
      <alignment vertical="center"/>
    </xf>
    <xf numFmtId="0" fontId="13" fillId="3" borderId="33" xfId="0" applyFont="1" applyFill="1" applyBorder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8" xfId="0" applyFont="1" applyFill="1" applyBorder="1">
      <alignment vertical="center"/>
    </xf>
    <xf numFmtId="0" fontId="15" fillId="3" borderId="8" xfId="0" applyFont="1" applyFill="1" applyBorder="1" applyAlignment="1">
      <alignment horizontal="right" vertical="center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40" fillId="3" borderId="10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40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25" fillId="3" borderId="9" xfId="0" applyFont="1" applyFill="1" applyBorder="1" applyAlignment="1">
      <alignment horizontal="right" vertical="center"/>
    </xf>
    <xf numFmtId="0" fontId="40" fillId="3" borderId="0" xfId="0" applyFont="1" applyFill="1" applyAlignment="1">
      <alignment horizontal="lef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left" vertical="center"/>
    </xf>
    <xf numFmtId="0" fontId="24" fillId="3" borderId="17" xfId="0" applyFont="1" applyFill="1" applyBorder="1" applyAlignment="1">
      <alignment horizontal="right" vertical="center"/>
    </xf>
    <xf numFmtId="0" fontId="23" fillId="3" borderId="8" xfId="0" applyFont="1" applyFill="1" applyBorder="1" applyAlignment="1">
      <alignment horizontal="right" vertical="center"/>
    </xf>
    <xf numFmtId="0" fontId="40" fillId="2" borderId="10" xfId="0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right" vertical="center"/>
    </xf>
    <xf numFmtId="3" fontId="24" fillId="3" borderId="17" xfId="0" applyNumberFormat="1" applyFont="1" applyFill="1" applyBorder="1" applyAlignment="1">
      <alignment horizontal="right" vertical="center"/>
    </xf>
    <xf numFmtId="3" fontId="23" fillId="3" borderId="10" xfId="0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left" vertical="center"/>
    </xf>
    <xf numFmtId="3" fontId="6" fillId="0" borderId="17" xfId="0" applyNumberFormat="1" applyFont="1" applyBorder="1" applyAlignment="1">
      <alignment horizontal="right" vertical="center"/>
    </xf>
    <xf numFmtId="0" fontId="25" fillId="3" borderId="8" xfId="0" applyFont="1" applyFill="1" applyBorder="1" applyAlignment="1">
      <alignment horizontal="right" vertical="center"/>
    </xf>
    <xf numFmtId="3" fontId="23" fillId="3" borderId="0" xfId="0" applyNumberFormat="1" applyFont="1" applyFill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0" fontId="25" fillId="3" borderId="10" xfId="0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right" vertical="center"/>
    </xf>
    <xf numFmtId="0" fontId="23" fillId="3" borderId="17" xfId="0" applyFont="1" applyFill="1" applyBorder="1" applyAlignment="1">
      <alignment horizontal="right" vertical="center"/>
    </xf>
    <xf numFmtId="3" fontId="23" fillId="3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23" fillId="3" borderId="8" xfId="0" applyNumberFormat="1" applyFont="1" applyFill="1" applyBorder="1" applyAlignment="1">
      <alignment horizontal="right" vertical="center"/>
    </xf>
    <xf numFmtId="0" fontId="40" fillId="3" borderId="30" xfId="0" applyFont="1" applyFill="1" applyBorder="1" applyAlignment="1">
      <alignment horizontal="left" vertical="center"/>
    </xf>
    <xf numFmtId="0" fontId="23" fillId="3" borderId="31" xfId="0" applyFont="1" applyFill="1" applyBorder="1" applyAlignment="1">
      <alignment horizontal="right" vertical="center"/>
    </xf>
    <xf numFmtId="0" fontId="3" fillId="3" borderId="30" xfId="0" applyFont="1" applyFill="1" applyBorder="1" applyAlignment="1">
      <alignment horizontal="left" vertical="center"/>
    </xf>
    <xf numFmtId="3" fontId="23" fillId="3" borderId="30" xfId="0" applyNumberFormat="1" applyFont="1" applyFill="1" applyBorder="1" applyAlignment="1">
      <alignment horizontal="right" vertical="center"/>
    </xf>
    <xf numFmtId="0" fontId="3" fillId="3" borderId="35" xfId="0" applyFont="1" applyFill="1" applyBorder="1" applyAlignment="1">
      <alignment horizontal="left" vertical="center"/>
    </xf>
    <xf numFmtId="3" fontId="23" fillId="3" borderId="36" xfId="0" applyNumberFormat="1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left" vertical="center"/>
    </xf>
    <xf numFmtId="3" fontId="3" fillId="0" borderId="31" xfId="0" applyNumberFormat="1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3" fillId="4" borderId="59" xfId="0" applyFont="1" applyFill="1" applyBorder="1" applyAlignment="1">
      <alignment horizontal="left" vertical="center"/>
    </xf>
    <xf numFmtId="0" fontId="24" fillId="4" borderId="60" xfId="0" applyFont="1" applyFill="1" applyBorder="1" applyAlignment="1">
      <alignment horizontal="right" vertical="center"/>
    </xf>
    <xf numFmtId="0" fontId="40" fillId="4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right" vertical="center"/>
    </xf>
    <xf numFmtId="0" fontId="23" fillId="4" borderId="9" xfId="0" applyFont="1" applyFill="1" applyBorder="1" applyAlignment="1">
      <alignment horizontal="right" vertical="center"/>
    </xf>
    <xf numFmtId="0" fontId="40" fillId="4" borderId="0" xfId="0" applyFont="1" applyFill="1" applyAlignment="1">
      <alignment horizontal="left" vertical="center"/>
    </xf>
    <xf numFmtId="0" fontId="3" fillId="4" borderId="8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left" vertical="center"/>
    </xf>
    <xf numFmtId="0" fontId="24" fillId="4" borderId="15" xfId="0" applyFont="1" applyFill="1" applyBorder="1" applyAlignment="1">
      <alignment horizontal="right" vertical="center"/>
    </xf>
    <xf numFmtId="0" fontId="3" fillId="4" borderId="16" xfId="0" applyFont="1" applyFill="1" applyBorder="1" applyAlignment="1">
      <alignment horizontal="left" vertical="center"/>
    </xf>
    <xf numFmtId="0" fontId="24" fillId="4" borderId="17" xfId="0" applyFont="1" applyFill="1" applyBorder="1" applyAlignment="1">
      <alignment horizontal="right" vertical="center"/>
    </xf>
    <xf numFmtId="0" fontId="23" fillId="4" borderId="10" xfId="0" applyFont="1" applyFill="1" applyBorder="1" applyAlignment="1">
      <alignment horizontal="right" vertical="center"/>
    </xf>
    <xf numFmtId="0" fontId="23" fillId="4" borderId="8" xfId="0" applyFont="1" applyFill="1" applyBorder="1" applyAlignment="1">
      <alignment horizontal="right" vertical="center"/>
    </xf>
    <xf numFmtId="0" fontId="6" fillId="0" borderId="9" xfId="0" applyFont="1" applyBorder="1">
      <alignment vertical="center"/>
    </xf>
    <xf numFmtId="0" fontId="6" fillId="4" borderId="9" xfId="0" applyFont="1" applyFill="1" applyBorder="1" applyAlignment="1">
      <alignment horizontal="right" vertical="center"/>
    </xf>
    <xf numFmtId="0" fontId="40" fillId="2" borderId="0" xfId="0" applyFont="1" applyFill="1" applyAlignment="1">
      <alignment horizontal="left" vertical="center"/>
    </xf>
    <xf numFmtId="0" fontId="25" fillId="4" borderId="8" xfId="0" applyFont="1" applyFill="1" applyBorder="1" applyAlignment="1">
      <alignment horizontal="right" vertical="center"/>
    </xf>
    <xf numFmtId="3" fontId="25" fillId="4" borderId="9" xfId="0" applyNumberFormat="1" applyFont="1" applyFill="1" applyBorder="1" applyAlignment="1">
      <alignment horizontal="right" vertical="center"/>
    </xf>
    <xf numFmtId="3" fontId="23" fillId="4" borderId="8" xfId="0" applyNumberFormat="1" applyFont="1" applyFill="1" applyBorder="1" applyAlignment="1">
      <alignment horizontal="right" vertical="center"/>
    </xf>
    <xf numFmtId="3" fontId="23" fillId="4" borderId="9" xfId="0" applyNumberFormat="1" applyFont="1" applyFill="1" applyBorder="1" applyAlignment="1">
      <alignment horizontal="right" vertical="center"/>
    </xf>
    <xf numFmtId="0" fontId="23" fillId="4" borderId="0" xfId="0" applyFont="1" applyFill="1" applyAlignment="1">
      <alignment horizontal="right" vertical="center"/>
    </xf>
    <xf numFmtId="3" fontId="23" fillId="4" borderId="17" xfId="0" applyNumberFormat="1" applyFont="1" applyFill="1" applyBorder="1" applyAlignment="1">
      <alignment horizontal="right" vertical="center"/>
    </xf>
    <xf numFmtId="3" fontId="24" fillId="4" borderId="8" xfId="0" applyNumberFormat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41" fillId="4" borderId="10" xfId="0" applyFont="1" applyFill="1" applyBorder="1" applyAlignment="1">
      <alignment horizontal="left" vertical="center"/>
    </xf>
    <xf numFmtId="3" fontId="24" fillId="4" borderId="17" xfId="0" applyNumberFormat="1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center" vertical="center"/>
    </xf>
    <xf numFmtId="3" fontId="26" fillId="4" borderId="6" xfId="0" applyNumberFormat="1" applyFont="1" applyFill="1" applyBorder="1">
      <alignment vertical="center"/>
    </xf>
    <xf numFmtId="3" fontId="26" fillId="4" borderId="7" xfId="0" applyNumberFormat="1" applyFont="1" applyFill="1" applyBorder="1">
      <alignment vertical="center"/>
    </xf>
    <xf numFmtId="3" fontId="26" fillId="4" borderId="12" xfId="0" applyNumberFormat="1" applyFont="1" applyFill="1" applyBorder="1">
      <alignment vertical="center"/>
    </xf>
    <xf numFmtId="3" fontId="26" fillId="4" borderId="13" xfId="0" applyNumberFormat="1" applyFont="1" applyFill="1" applyBorder="1">
      <alignment vertical="center"/>
    </xf>
    <xf numFmtId="3" fontId="26" fillId="4" borderId="0" xfId="0" applyNumberFormat="1" applyFont="1" applyFill="1">
      <alignment vertical="center"/>
    </xf>
    <xf numFmtId="3" fontId="28" fillId="4" borderId="0" xfId="0" applyNumberFormat="1" applyFont="1" applyFill="1">
      <alignment vertical="center"/>
    </xf>
    <xf numFmtId="3" fontId="28" fillId="4" borderId="10" xfId="0" applyNumberFormat="1" applyFont="1" applyFill="1" applyBorder="1" applyAlignment="1">
      <alignment horizontal="right" vertical="center"/>
    </xf>
    <xf numFmtId="3" fontId="26" fillId="4" borderId="18" xfId="0" applyNumberFormat="1" applyFont="1" applyFill="1" applyBorder="1">
      <alignment vertical="center"/>
    </xf>
    <xf numFmtId="0" fontId="0" fillId="5" borderId="61" xfId="0" applyFill="1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0" xfId="0" applyBorder="1">
      <alignment vertical="center"/>
    </xf>
    <xf numFmtId="3" fontId="0" fillId="0" borderId="66" xfId="0" applyNumberFormat="1" applyBorder="1">
      <alignment vertical="center"/>
    </xf>
    <xf numFmtId="0" fontId="0" fillId="0" borderId="67" xfId="0" applyBorder="1">
      <alignment vertical="center"/>
    </xf>
    <xf numFmtId="3" fontId="0" fillId="5" borderId="68" xfId="0" applyNumberFormat="1" applyFill="1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3" fontId="0" fillId="0" borderId="71" xfId="0" applyNumberFormat="1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3" fontId="0" fillId="0" borderId="75" xfId="0" applyNumberFormat="1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0" fillId="0" borderId="78" xfId="0" applyBorder="1">
      <alignment vertical="center"/>
    </xf>
    <xf numFmtId="0" fontId="0" fillId="0" borderId="66" xfId="0" applyBorder="1">
      <alignment vertical="center"/>
    </xf>
    <xf numFmtId="0" fontId="42" fillId="0" borderId="66" xfId="0" applyFont="1" applyBorder="1">
      <alignment vertical="center"/>
    </xf>
    <xf numFmtId="3" fontId="42" fillId="0" borderId="66" xfId="0" applyNumberFormat="1" applyFont="1" applyBorder="1">
      <alignment vertical="center"/>
    </xf>
    <xf numFmtId="0" fontId="0" fillId="5" borderId="0" xfId="0" applyFill="1" applyBorder="1">
      <alignment vertical="center"/>
    </xf>
    <xf numFmtId="3" fontId="0" fillId="5" borderId="66" xfId="0" applyNumberFormat="1" applyFill="1" applyBorder="1">
      <alignment vertical="center"/>
    </xf>
    <xf numFmtId="0" fontId="0" fillId="0" borderId="71" xfId="0" applyBorder="1">
      <alignment vertical="center"/>
    </xf>
    <xf numFmtId="1" fontId="24" fillId="3" borderId="21" xfId="0" applyNumberFormat="1" applyFont="1" applyFill="1" applyBorder="1" applyAlignment="1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3" fontId="22" fillId="4" borderId="41" xfId="0" applyNumberFormat="1" applyFont="1" applyFill="1" applyBorder="1" applyAlignment="1">
      <alignment vertical="center"/>
    </xf>
    <xf numFmtId="3" fontId="3" fillId="4" borderId="9" xfId="0" applyNumberFormat="1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left" vertical="center"/>
    </xf>
    <xf numFmtId="0" fontId="24" fillId="4" borderId="8" xfId="0" applyFont="1" applyFill="1" applyBorder="1" applyAlignment="1">
      <alignment horizontal="right" vertical="center"/>
    </xf>
    <xf numFmtId="3" fontId="23" fillId="4" borderId="7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3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textRotation="255"/>
    </xf>
    <xf numFmtId="0" fontId="5" fillId="0" borderId="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3" fillId="0" borderId="2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2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8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45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6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58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30" fillId="0" borderId="24" xfId="0" applyFont="1" applyBorder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0" xfId="0" applyFont="1" applyAlignment="1"/>
    <xf numFmtId="0" fontId="44" fillId="0" borderId="0" xfId="0" applyFont="1" applyAlignment="1">
      <alignment horizontal="right" vertical="center"/>
    </xf>
    <xf numFmtId="0" fontId="14" fillId="3" borderId="7" xfId="0" applyFont="1" applyFill="1" applyBorder="1">
      <alignment vertical="center"/>
    </xf>
    <xf numFmtId="1" fontId="14" fillId="3" borderId="9" xfId="0" applyNumberFormat="1" applyFont="1" applyFill="1" applyBorder="1" applyAlignment="1">
      <alignment horizontal="right" vertical="center"/>
    </xf>
    <xf numFmtId="0" fontId="14" fillId="3" borderId="45" xfId="0" applyFont="1" applyFill="1" applyBorder="1" applyAlignment="1">
      <alignment horizontal="right" vertical="center"/>
    </xf>
    <xf numFmtId="1" fontId="14" fillId="3" borderId="8" xfId="0" applyNumberFormat="1" applyFont="1" applyFill="1" applyBorder="1" applyAlignment="1">
      <alignment horizontal="right" vertical="center"/>
    </xf>
    <xf numFmtId="0" fontId="45" fillId="3" borderId="0" xfId="0" applyFont="1" applyFill="1">
      <alignment vertical="center"/>
    </xf>
    <xf numFmtId="0" fontId="26" fillId="3" borderId="0" xfId="0" applyFont="1" applyFill="1">
      <alignment vertical="center"/>
    </xf>
    <xf numFmtId="0" fontId="26" fillId="3" borderId="33" xfId="0" applyFont="1" applyFill="1" applyBorder="1">
      <alignment vertical="center"/>
    </xf>
    <xf numFmtId="0" fontId="37" fillId="3" borderId="0" xfId="0" applyFont="1" applyFill="1">
      <alignment vertical="center"/>
    </xf>
    <xf numFmtId="0" fontId="46" fillId="3" borderId="7" xfId="0" applyFont="1" applyFill="1" applyBorder="1">
      <alignment vertical="center"/>
    </xf>
    <xf numFmtId="0" fontId="47" fillId="3" borderId="7" xfId="0" applyFont="1" applyFill="1" applyBorder="1" applyAlignment="1">
      <alignment horizontal="center" vertical="center"/>
    </xf>
    <xf numFmtId="0" fontId="14" fillId="3" borderId="0" xfId="0" applyFont="1" applyFill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33" xfId="0" applyFont="1" applyBorder="1">
      <alignment vertical="center"/>
    </xf>
    <xf numFmtId="0" fontId="14" fillId="3" borderId="33" xfId="0" applyFont="1" applyFill="1" applyBorder="1" applyAlignment="1">
      <alignment horizontal="center" vertical="center"/>
    </xf>
    <xf numFmtId="3" fontId="14" fillId="3" borderId="10" xfId="0" applyNumberFormat="1" applyFont="1" applyFill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right" vertical="center"/>
    </xf>
    <xf numFmtId="0" fontId="14" fillId="3" borderId="18" xfId="0" applyFont="1" applyFill="1" applyBorder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>
      <alignment vertical="center"/>
    </xf>
    <xf numFmtId="0" fontId="14" fillId="3" borderId="8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6" borderId="10" xfId="0" applyFont="1" applyFill="1" applyBorder="1">
      <alignment vertical="center"/>
    </xf>
    <xf numFmtId="0" fontId="3" fillId="0" borderId="24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4" fillId="0" borderId="22" xfId="0" applyFont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right" vertical="center"/>
    </xf>
    <xf numFmtId="0" fontId="5" fillId="3" borderId="2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" fontId="36" fillId="0" borderId="15" xfId="0" applyNumberFormat="1" applyFont="1" applyBorder="1" applyAlignment="1">
      <alignment horizontal="right" vertical="center"/>
    </xf>
    <xf numFmtId="1" fontId="26" fillId="3" borderId="21" xfId="0" applyNumberFormat="1" applyFont="1" applyFill="1" applyBorder="1" applyAlignment="1">
      <alignment horizontal="right" vertical="center"/>
    </xf>
    <xf numFmtId="0" fontId="5" fillId="3" borderId="21" xfId="0" applyFont="1" applyFill="1" applyBorder="1">
      <alignment vertical="center"/>
    </xf>
    <xf numFmtId="0" fontId="36" fillId="0" borderId="17" xfId="0" applyFont="1" applyBorder="1" applyAlignment="1">
      <alignment horizontal="right" vertical="center"/>
    </xf>
    <xf numFmtId="0" fontId="26" fillId="3" borderId="21" xfId="0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33" xfId="0" applyFont="1" applyFill="1" applyBorder="1">
      <alignment vertical="center"/>
    </xf>
    <xf numFmtId="38" fontId="0" fillId="0" borderId="0" xfId="1" applyFont="1">
      <alignment vertical="center"/>
    </xf>
    <xf numFmtId="0" fontId="26" fillId="3" borderId="22" xfId="0" applyFont="1" applyFill="1" applyBorder="1">
      <alignment vertical="center"/>
    </xf>
    <xf numFmtId="0" fontId="5" fillId="3" borderId="16" xfId="0" applyFont="1" applyFill="1" applyBorder="1" applyAlignment="1">
      <alignment horizontal="center" vertical="center"/>
    </xf>
    <xf numFmtId="0" fontId="48" fillId="3" borderId="17" xfId="0" applyFont="1" applyFill="1" applyBorder="1" applyAlignment="1">
      <alignment horizontal="right" vertical="center"/>
    </xf>
    <xf numFmtId="0" fontId="26" fillId="3" borderId="21" xfId="0" applyFont="1" applyFill="1" applyBorder="1">
      <alignment vertical="center"/>
    </xf>
    <xf numFmtId="0" fontId="5" fillId="3" borderId="10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0" fontId="5" fillId="3" borderId="22" xfId="0" applyFont="1" applyFill="1" applyBorder="1">
      <alignment vertical="center"/>
    </xf>
    <xf numFmtId="3" fontId="4" fillId="0" borderId="17" xfId="0" applyNumberFormat="1" applyFont="1" applyBorder="1" applyAlignment="1">
      <alignment horizontal="right" vertical="center"/>
    </xf>
    <xf numFmtId="3" fontId="26" fillId="3" borderId="21" xfId="0" applyNumberFormat="1" applyFont="1" applyFill="1" applyBorder="1" applyAlignment="1">
      <alignment horizontal="right" vertical="center"/>
    </xf>
    <xf numFmtId="1" fontId="26" fillId="3" borderId="21" xfId="0" applyNumberFormat="1" applyFont="1" applyFill="1" applyBorder="1">
      <alignment vertical="center"/>
    </xf>
    <xf numFmtId="3" fontId="28" fillId="3" borderId="21" xfId="0" applyNumberFormat="1" applyFont="1" applyFill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26" fillId="3" borderId="21" xfId="0" applyNumberFormat="1" applyFont="1" applyFill="1" applyBorder="1">
      <alignment vertical="center"/>
    </xf>
    <xf numFmtId="0" fontId="4" fillId="0" borderId="22" xfId="0" applyFont="1" applyBorder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3" borderId="18" xfId="0" applyFont="1" applyFill="1" applyBorder="1" applyAlignment="1">
      <alignment horizontal="center" vertical="center"/>
    </xf>
    <xf numFmtId="3" fontId="26" fillId="3" borderId="33" xfId="0" applyNumberFormat="1" applyFont="1" applyFill="1" applyBorder="1">
      <alignment vertical="center"/>
    </xf>
    <xf numFmtId="0" fontId="26" fillId="3" borderId="33" xfId="0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8" fillId="3" borderId="17" xfId="0" applyNumberFormat="1" applyFont="1" applyFill="1" applyBorder="1" applyAlignment="1">
      <alignment horizontal="right" vertical="center"/>
    </xf>
    <xf numFmtId="3" fontId="36" fillId="0" borderId="17" xfId="0" applyNumberFormat="1" applyFont="1" applyBorder="1" applyAlignment="1">
      <alignment horizontal="right" vertical="center"/>
    </xf>
    <xf numFmtId="3" fontId="26" fillId="3" borderId="9" xfId="0" applyNumberFormat="1" applyFont="1" applyFill="1" applyBorder="1" applyAlignment="1">
      <alignment horizontal="right" vertical="center"/>
    </xf>
    <xf numFmtId="3" fontId="48" fillId="3" borderId="9" xfId="0" applyNumberFormat="1" applyFont="1" applyFill="1" applyBorder="1" applyAlignment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3" fontId="36" fillId="0" borderId="1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>
      <alignment vertical="center"/>
    </xf>
    <xf numFmtId="0" fontId="4" fillId="4" borderId="22" xfId="0" applyFont="1" applyFill="1" applyBorder="1" applyAlignment="1">
      <alignment horizontal="center" vertical="center"/>
    </xf>
    <xf numFmtId="3" fontId="26" fillId="4" borderId="21" xfId="0" applyNumberFormat="1" applyFont="1" applyFill="1" applyBorder="1" applyAlignment="1">
      <alignment horizontal="right" vertical="center"/>
    </xf>
    <xf numFmtId="0" fontId="5" fillId="4" borderId="22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right" vertical="center"/>
    </xf>
    <xf numFmtId="3" fontId="26" fillId="4" borderId="21" xfId="0" applyNumberFormat="1" applyFont="1" applyFill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26" fillId="4" borderId="33" xfId="0" applyFont="1" applyFill="1" applyBorder="1">
      <alignment vertical="center"/>
    </xf>
    <xf numFmtId="0" fontId="26" fillId="4" borderId="21" xfId="0" applyFont="1" applyFill="1" applyBorder="1">
      <alignment vertical="center"/>
    </xf>
    <xf numFmtId="3" fontId="5" fillId="4" borderId="21" xfId="0" applyNumberFormat="1" applyFont="1" applyFill="1" applyBorder="1">
      <alignment vertical="center"/>
    </xf>
    <xf numFmtId="0" fontId="4" fillId="0" borderId="44" xfId="0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3" fontId="26" fillId="4" borderId="22" xfId="0" applyNumberFormat="1" applyFont="1" applyFill="1" applyBorder="1">
      <alignment vertical="center"/>
    </xf>
    <xf numFmtId="0" fontId="5" fillId="4" borderId="16" xfId="0" applyFont="1" applyFill="1" applyBorder="1" applyAlignment="1">
      <alignment horizontal="center" vertical="center"/>
    </xf>
    <xf numFmtId="3" fontId="48" fillId="4" borderId="17" xfId="0" applyNumberFormat="1" applyFont="1" applyFill="1" applyBorder="1" applyAlignment="1">
      <alignment horizontal="right" vertical="center"/>
    </xf>
    <xf numFmtId="3" fontId="4" fillId="0" borderId="44" xfId="0" applyNumberFormat="1" applyFont="1" applyBorder="1">
      <alignment vertical="center"/>
    </xf>
    <xf numFmtId="3" fontId="4" fillId="0" borderId="24" xfId="0" applyNumberFormat="1" applyFont="1" applyBorder="1" applyAlignment="1">
      <alignment horizontal="center" vertical="center"/>
    </xf>
    <xf numFmtId="3" fontId="26" fillId="4" borderId="33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/>
    </xf>
    <xf numFmtId="1" fontId="26" fillId="4" borderId="9" xfId="0" applyNumberFormat="1" applyFont="1" applyFill="1" applyBorder="1">
      <alignment vertical="center"/>
    </xf>
    <xf numFmtId="0" fontId="5" fillId="4" borderId="21" xfId="0" applyFont="1" applyFill="1" applyBorder="1">
      <alignment vertical="center"/>
    </xf>
    <xf numFmtId="0" fontId="48" fillId="4" borderId="17" xfId="0" applyFont="1" applyFill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3" fontId="26" fillId="4" borderId="9" xfId="0" applyNumberFormat="1" applyFont="1" applyFill="1" applyBorder="1">
      <alignment vertical="center"/>
    </xf>
    <xf numFmtId="3" fontId="26" fillId="4" borderId="9" xfId="0" applyNumberFormat="1" applyFont="1" applyFill="1" applyBorder="1" applyAlignment="1">
      <alignment horizontal="right" vertical="center"/>
    </xf>
    <xf numFmtId="0" fontId="26" fillId="4" borderId="9" xfId="0" applyFont="1" applyFill="1" applyBorder="1" applyAlignment="1">
      <alignment horizontal="right" vertical="center"/>
    </xf>
    <xf numFmtId="3" fontId="49" fillId="4" borderId="2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5" fillId="4" borderId="0" xfId="0" applyFont="1" applyFill="1" applyAlignment="1">
      <alignment horizontal="center" vertical="center"/>
    </xf>
    <xf numFmtId="0" fontId="26" fillId="4" borderId="8" xfId="0" applyFont="1" applyFill="1" applyBorder="1" applyAlignment="1">
      <alignment horizontal="right" vertical="center"/>
    </xf>
    <xf numFmtId="0" fontId="28" fillId="4" borderId="8" xfId="0" applyFont="1" applyFill="1" applyBorder="1" applyAlignment="1">
      <alignment horizontal="right" vertical="center"/>
    </xf>
    <xf numFmtId="3" fontId="26" fillId="4" borderId="8" xfId="0" applyNumberFormat="1" applyFont="1" applyFill="1" applyBorder="1">
      <alignment vertical="center"/>
    </xf>
    <xf numFmtId="0" fontId="26" fillId="4" borderId="8" xfId="0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horizontal="left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26" fillId="4" borderId="21" xfId="0" applyNumberFormat="1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3" fontId="26" fillId="4" borderId="9" xfId="0" applyNumberFormat="1" applyFont="1" applyFill="1" applyBorder="1" applyAlignment="1">
      <alignment horizontal="center" vertical="center"/>
    </xf>
    <xf numFmtId="3" fontId="26" fillId="4" borderId="8" xfId="0" applyNumberFormat="1" applyFont="1" applyFill="1" applyBorder="1" applyAlignment="1">
      <alignment horizontal="right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5" fillId="0" borderId="18" xfId="0" applyFont="1" applyBorder="1">
      <alignment vertical="center"/>
    </xf>
    <xf numFmtId="0" fontId="0" fillId="0" borderId="0" xfId="0" applyAlignment="1">
      <alignment horizontal="right" vertical="center"/>
    </xf>
    <xf numFmtId="0" fontId="53" fillId="4" borderId="44" xfId="0" applyFont="1" applyFill="1" applyBorder="1" applyAlignment="1">
      <alignment horizontal="center" vertical="center"/>
    </xf>
    <xf numFmtId="38" fontId="0" fillId="0" borderId="0" xfId="1" applyFont="1" applyAlignment="1">
      <alignment vertical="center"/>
    </xf>
    <xf numFmtId="3" fontId="45" fillId="4" borderId="33" xfId="0" applyNumberFormat="1" applyFont="1" applyFill="1" applyBorder="1">
      <alignment vertical="center"/>
    </xf>
    <xf numFmtId="3" fontId="26" fillId="4" borderId="33" xfId="0" applyNumberFormat="1" applyFont="1" applyFill="1" applyBorder="1">
      <alignment vertical="center"/>
    </xf>
    <xf numFmtId="0" fontId="42" fillId="0" borderId="0" xfId="0" applyFont="1" applyAlignment="1">
      <alignment horizontal="right" vertical="center"/>
    </xf>
    <xf numFmtId="3" fontId="28" fillId="4" borderId="33" xfId="0" applyNumberFormat="1" applyFont="1" applyFill="1" applyBorder="1">
      <alignment vertical="center"/>
    </xf>
    <xf numFmtId="3" fontId="27" fillId="4" borderId="33" xfId="0" applyNumberFormat="1" applyFont="1" applyFill="1" applyBorder="1">
      <alignment vertical="center"/>
    </xf>
    <xf numFmtId="3" fontId="27" fillId="4" borderId="7" xfId="0" applyNumberFormat="1" applyFont="1" applyFill="1" applyBorder="1">
      <alignment vertical="center"/>
    </xf>
    <xf numFmtId="3" fontId="26" fillId="0" borderId="18" xfId="0" applyNumberFormat="1" applyFont="1" applyBorder="1" applyAlignment="1">
      <alignment horizontal="center" vertical="center"/>
    </xf>
    <xf numFmtId="3" fontId="26" fillId="0" borderId="18" xfId="0" applyNumberFormat="1" applyFont="1" applyBorder="1">
      <alignment vertical="center"/>
    </xf>
    <xf numFmtId="0" fontId="0" fillId="0" borderId="0" xfId="0" quotePrefix="1" applyAlignment="1">
      <alignment horizontal="right" vertical="center"/>
    </xf>
    <xf numFmtId="38" fontId="0" fillId="0" borderId="0" xfId="0" applyNumberFormat="1">
      <alignment vertical="center"/>
    </xf>
    <xf numFmtId="3" fontId="26" fillId="0" borderId="0" xfId="0" applyNumberFormat="1" applyFont="1">
      <alignment vertical="center"/>
    </xf>
    <xf numFmtId="3" fontId="28" fillId="4" borderId="7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/>
    <xf numFmtId="0" fontId="44" fillId="0" borderId="0" xfId="0" applyFont="1" applyAlignment="1">
      <alignment horizontal="right"/>
    </xf>
    <xf numFmtId="0" fontId="11" fillId="0" borderId="0" xfId="0" applyFont="1" applyAlignment="1"/>
    <xf numFmtId="0" fontId="12" fillId="3" borderId="44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18" fillId="3" borderId="44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33" xfId="0" applyFont="1" applyFill="1" applyBorder="1" applyAlignment="1"/>
    <xf numFmtId="0" fontId="14" fillId="3" borderId="7" xfId="0" applyFont="1" applyFill="1" applyBorder="1" applyAlignment="1">
      <alignment horizontal="center"/>
    </xf>
    <xf numFmtId="0" fontId="14" fillId="3" borderId="33" xfId="0" applyFont="1" applyFill="1" applyBorder="1" applyAlignment="1"/>
    <xf numFmtId="0" fontId="13" fillId="3" borderId="45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right"/>
    </xf>
    <xf numFmtId="0" fontId="14" fillId="3" borderId="45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right"/>
    </xf>
    <xf numFmtId="0" fontId="13" fillId="3" borderId="13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7" xfId="0" applyFont="1" applyFill="1" applyBorder="1" applyAlignment="1"/>
    <xf numFmtId="0" fontId="14" fillId="3" borderId="45" xfId="0" applyFont="1" applyFill="1" applyBorder="1" applyAlignment="1">
      <alignment horizontal="right"/>
    </xf>
    <xf numFmtId="0" fontId="13" fillId="3" borderId="8" xfId="0" applyFont="1" applyFill="1" applyBorder="1" applyAlignment="1"/>
    <xf numFmtId="0" fontId="14" fillId="3" borderId="8" xfId="0" applyFont="1" applyFill="1" applyBorder="1" applyAlignment="1"/>
    <xf numFmtId="0" fontId="13" fillId="3" borderId="8" xfId="0" applyFont="1" applyFill="1" applyBorder="1" applyAlignment="1">
      <alignment horizontal="right"/>
    </xf>
    <xf numFmtId="3" fontId="14" fillId="3" borderId="8" xfId="0" applyNumberFormat="1" applyFont="1" applyFill="1" applyBorder="1" applyAlignment="1">
      <alignment horizontal="right"/>
    </xf>
    <xf numFmtId="3" fontId="14" fillId="3" borderId="9" xfId="0" applyNumberFormat="1" applyFont="1" applyFill="1" applyBorder="1" applyAlignment="1">
      <alignment horizontal="right"/>
    </xf>
    <xf numFmtId="0" fontId="14" fillId="3" borderId="8" xfId="0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54" fillId="0" borderId="0" xfId="0" applyFont="1" applyAlignment="1"/>
    <xf numFmtId="0" fontId="44" fillId="0" borderId="10" xfId="0" applyFont="1" applyBorder="1" applyAlignment="1">
      <alignment horizontal="right"/>
    </xf>
    <xf numFmtId="0" fontId="5" fillId="0" borderId="10" xfId="0" applyFont="1" applyBorder="1" applyAlignment="1"/>
    <xf numFmtId="0" fontId="44" fillId="0" borderId="42" xfId="0" applyFont="1" applyBorder="1" applyAlignment="1">
      <alignment horizontal="center" vertical="center"/>
    </xf>
    <xf numFmtId="0" fontId="5" fillId="0" borderId="38" xfId="0" applyFont="1" applyBorder="1" applyAlignment="1"/>
    <xf numFmtId="0" fontId="5" fillId="0" borderId="39" xfId="0" applyFont="1" applyBorder="1" applyAlignment="1"/>
    <xf numFmtId="0" fontId="44" fillId="0" borderId="18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3" borderId="28" xfId="0" applyFont="1" applyFill="1" applyBorder="1" applyAlignment="1">
      <alignment horizontal="center"/>
    </xf>
    <xf numFmtId="0" fontId="5" fillId="0" borderId="29" xfId="0" applyFont="1" applyBorder="1" applyAlignment="1"/>
    <xf numFmtId="0" fontId="44" fillId="0" borderId="13" xfId="0" applyFont="1" applyBorder="1" applyAlignment="1">
      <alignment horizontal="center" vertical="center" textRotation="255"/>
    </xf>
    <xf numFmtId="0" fontId="44" fillId="0" borderId="0" xfId="0" applyFont="1">
      <alignment vertical="center"/>
    </xf>
    <xf numFmtId="0" fontId="44" fillId="0" borderId="80" xfId="0" applyFont="1" applyBorder="1">
      <alignment vertical="center"/>
    </xf>
    <xf numFmtId="0" fontId="58" fillId="2" borderId="81" xfId="0" applyFont="1" applyFill="1" applyBorder="1" applyAlignment="1">
      <alignment horizontal="right" vertical="center"/>
    </xf>
    <xf numFmtId="0" fontId="58" fillId="0" borderId="82" xfId="0" applyFont="1" applyBorder="1" applyAlignment="1">
      <alignment horizontal="right" vertical="center"/>
    </xf>
    <xf numFmtId="0" fontId="7" fillId="3" borderId="83" xfId="0" applyFont="1" applyFill="1" applyBorder="1" applyAlignment="1">
      <alignment horizontal="center" vertical="center"/>
    </xf>
    <xf numFmtId="0" fontId="59" fillId="3" borderId="82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3" fillId="3" borderId="82" xfId="0" applyFont="1" applyFill="1" applyBorder="1" applyAlignment="1">
      <alignment horizontal="right" vertical="center"/>
    </xf>
    <xf numFmtId="0" fontId="5" fillId="0" borderId="13" xfId="0" applyFont="1" applyBorder="1" applyAlignment="1"/>
    <xf numFmtId="0" fontId="44" fillId="0" borderId="84" xfId="0" applyFont="1" applyBorder="1">
      <alignment vertical="center"/>
    </xf>
    <xf numFmtId="0" fontId="7" fillId="2" borderId="85" xfId="0" applyFont="1" applyFill="1" applyBorder="1" applyAlignment="1">
      <alignment horizontal="right" vertical="center"/>
    </xf>
    <xf numFmtId="0" fontId="7" fillId="0" borderId="86" xfId="0" applyFont="1" applyBorder="1" applyAlignment="1">
      <alignment horizontal="right" vertical="center"/>
    </xf>
    <xf numFmtId="0" fontId="7" fillId="3" borderId="87" xfId="0" applyFont="1" applyFill="1" applyBorder="1" applyAlignment="1">
      <alignment horizontal="center" vertical="center"/>
    </xf>
    <xf numFmtId="0" fontId="3" fillId="3" borderId="87" xfId="0" applyFont="1" applyFill="1" applyBorder="1" applyAlignment="1">
      <alignment horizontal="right" vertical="center"/>
    </xf>
    <xf numFmtId="0" fontId="60" fillId="3" borderId="17" xfId="0" applyFont="1" applyFill="1" applyBorder="1" applyAlignment="1">
      <alignment horizontal="right" vertical="center"/>
    </xf>
    <xf numFmtId="0" fontId="61" fillId="3" borderId="87" xfId="0" applyFont="1" applyFill="1" applyBorder="1" applyAlignment="1">
      <alignment horizontal="right" vertical="center"/>
    </xf>
    <xf numFmtId="0" fontId="61" fillId="3" borderId="86" xfId="0" applyFont="1" applyFill="1" applyBorder="1" applyAlignment="1">
      <alignment horizontal="right" vertical="center"/>
    </xf>
    <xf numFmtId="0" fontId="3" fillId="3" borderId="86" xfId="0" applyFont="1" applyFill="1" applyBorder="1" applyAlignment="1">
      <alignment horizontal="right" vertical="center"/>
    </xf>
    <xf numFmtId="0" fontId="58" fillId="2" borderId="85" xfId="0" applyFont="1" applyFill="1" applyBorder="1" applyAlignment="1">
      <alignment horizontal="right" vertical="center"/>
    </xf>
    <xf numFmtId="0" fontId="58" fillId="0" borderId="86" xfId="0" applyFont="1" applyBorder="1" applyAlignment="1">
      <alignment horizontal="right" vertical="center"/>
    </xf>
    <xf numFmtId="0" fontId="59" fillId="3" borderId="86" xfId="0" applyFont="1" applyFill="1" applyBorder="1" applyAlignment="1">
      <alignment horizontal="right" vertical="center"/>
    </xf>
    <xf numFmtId="0" fontId="58" fillId="3" borderId="83" xfId="0" applyFont="1" applyFill="1" applyBorder="1" applyAlignment="1">
      <alignment horizontal="center" vertical="center"/>
    </xf>
    <xf numFmtId="0" fontId="59" fillId="3" borderId="87" xfId="0" applyFont="1" applyFill="1" applyBorder="1" applyAlignment="1">
      <alignment horizontal="center" vertical="center"/>
    </xf>
    <xf numFmtId="0" fontId="44" fillId="0" borderId="10" xfId="0" applyFont="1" applyBorder="1">
      <alignment vertical="center"/>
    </xf>
    <xf numFmtId="0" fontId="7" fillId="2" borderId="23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60" fillId="3" borderId="9" xfId="0" applyFont="1" applyFill="1" applyBorder="1" applyAlignment="1">
      <alignment horizontal="right" vertical="center"/>
    </xf>
    <xf numFmtId="0" fontId="61" fillId="3" borderId="9" xfId="0" applyFont="1" applyFill="1" applyBorder="1" applyAlignment="1">
      <alignment horizontal="right" vertical="center"/>
    </xf>
    <xf numFmtId="0" fontId="58" fillId="2" borderId="24" xfId="0" applyFont="1" applyFill="1" applyBorder="1" applyAlignment="1">
      <alignment horizontal="right" vertical="center"/>
    </xf>
    <xf numFmtId="0" fontId="58" fillId="0" borderId="21" xfId="0" applyFont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0" fontId="62" fillId="3" borderId="9" xfId="0" applyFont="1" applyFill="1" applyBorder="1" applyAlignment="1">
      <alignment horizontal="right" vertical="center"/>
    </xf>
    <xf numFmtId="3" fontId="7" fillId="2" borderId="88" xfId="0" applyNumberFormat="1" applyFont="1" applyFill="1" applyBorder="1" applyAlignment="1">
      <alignment horizontal="right" vertical="center"/>
    </xf>
    <xf numFmtId="3" fontId="7" fillId="0" borderId="89" xfId="0" applyNumberFormat="1" applyFont="1" applyBorder="1" applyAlignment="1">
      <alignment horizontal="right" vertical="center"/>
    </xf>
    <xf numFmtId="0" fontId="3" fillId="3" borderId="83" xfId="0" applyFont="1" applyFill="1" applyBorder="1" applyAlignment="1">
      <alignment horizontal="right" vertical="center"/>
    </xf>
    <xf numFmtId="3" fontId="60" fillId="3" borderId="17" xfId="0" applyNumberFormat="1" applyFont="1" applyFill="1" applyBorder="1" applyAlignment="1">
      <alignment horizontal="right" vertical="center"/>
    </xf>
    <xf numFmtId="0" fontId="62" fillId="3" borderId="82" xfId="0" applyFont="1" applyFill="1" applyBorder="1" applyAlignment="1">
      <alignment horizontal="right" vertical="center"/>
    </xf>
    <xf numFmtId="3" fontId="7" fillId="2" borderId="23" xfId="0" applyNumberFormat="1" applyFont="1" applyFill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" fontId="61" fillId="3" borderId="9" xfId="0" applyNumberFormat="1" applyFont="1" applyFill="1" applyBorder="1" applyAlignment="1">
      <alignment horizontal="right" vertical="center"/>
    </xf>
    <xf numFmtId="3" fontId="61" fillId="3" borderId="0" xfId="0" applyNumberFormat="1" applyFont="1" applyFill="1" applyAlignment="1">
      <alignment horizontal="right" vertical="center"/>
    </xf>
    <xf numFmtId="3" fontId="60" fillId="3" borderId="90" xfId="0" applyNumberFormat="1" applyFont="1" applyFill="1" applyBorder="1" applyAlignment="1">
      <alignment horizontal="right" vertical="center"/>
    </xf>
    <xf numFmtId="0" fontId="61" fillId="3" borderId="82" xfId="0" applyFont="1" applyFill="1" applyBorder="1" applyAlignment="1">
      <alignment horizontal="right" vertical="center"/>
    </xf>
    <xf numFmtId="0" fontId="62" fillId="3" borderId="87" xfId="0" applyFont="1" applyFill="1" applyBorder="1" applyAlignment="1">
      <alignment horizontal="center" vertical="center"/>
    </xf>
    <xf numFmtId="0" fontId="59" fillId="3" borderId="8" xfId="0" applyFont="1" applyFill="1" applyBorder="1" applyAlignment="1">
      <alignment horizontal="right" vertical="center"/>
    </xf>
    <xf numFmtId="0" fontId="62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center"/>
    </xf>
    <xf numFmtId="0" fontId="7" fillId="2" borderId="24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3" borderId="22" xfId="0" applyFont="1" applyFill="1" applyBorder="1" applyAlignment="1">
      <alignment horizontal="center" vertical="center"/>
    </xf>
    <xf numFmtId="0" fontId="59" fillId="3" borderId="22" xfId="0" applyFont="1" applyFill="1" applyBorder="1" applyAlignment="1">
      <alignment horizontal="right" vertical="center"/>
    </xf>
    <xf numFmtId="0" fontId="60" fillId="3" borderId="22" xfId="0" applyFont="1" applyFill="1" applyBorder="1" applyAlignment="1">
      <alignment horizontal="right" vertical="center"/>
    </xf>
    <xf numFmtId="0" fontId="60" fillId="3" borderId="90" xfId="0" applyFont="1" applyFill="1" applyBorder="1" applyAlignment="1">
      <alignment horizontal="right" vertical="center"/>
    </xf>
    <xf numFmtId="0" fontId="60" fillId="3" borderId="21" xfId="0" applyFont="1" applyFill="1" applyBorder="1" applyAlignment="1">
      <alignment horizontal="right" vertical="center"/>
    </xf>
    <xf numFmtId="3" fontId="7" fillId="2" borderId="24" xfId="0" applyNumberFormat="1" applyFont="1" applyFill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0" fontId="7" fillId="3" borderId="10" xfId="0" applyFont="1" applyFill="1" applyBorder="1">
      <alignment vertical="center"/>
    </xf>
    <xf numFmtId="0" fontId="7" fillId="3" borderId="0" xfId="0" applyFont="1" applyFill="1">
      <alignment vertical="center"/>
    </xf>
    <xf numFmtId="3" fontId="61" fillId="3" borderId="8" xfId="0" applyNumberFormat="1" applyFont="1" applyFill="1" applyBorder="1" applyAlignment="1">
      <alignment horizontal="right" vertical="center"/>
    </xf>
    <xf numFmtId="0" fontId="44" fillId="0" borderId="10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1" xfId="0" applyFont="1" applyBorder="1">
      <alignment vertical="center"/>
    </xf>
    <xf numFmtId="0" fontId="61" fillId="3" borderId="10" xfId="0" applyFont="1" applyFill="1" applyBorder="1" applyAlignment="1">
      <alignment horizontal="right" vertical="center"/>
    </xf>
    <xf numFmtId="0" fontId="5" fillId="0" borderId="45" xfId="0" applyFont="1" applyBorder="1" applyAlignment="1"/>
    <xf numFmtId="0" fontId="7" fillId="2" borderId="88" xfId="0" applyFont="1" applyFill="1" applyBorder="1" applyAlignment="1">
      <alignment horizontal="right" vertical="center"/>
    </xf>
    <xf numFmtId="0" fontId="7" fillId="0" borderId="89" xfId="0" applyFont="1" applyBorder="1" applyAlignment="1">
      <alignment horizontal="right" vertical="center"/>
    </xf>
    <xf numFmtId="0" fontId="7" fillId="4" borderId="83" xfId="0" applyFont="1" applyFill="1" applyBorder="1" applyAlignment="1">
      <alignment horizontal="center" vertical="center"/>
    </xf>
    <xf numFmtId="0" fontId="23" fillId="4" borderId="83" xfId="0" applyFont="1" applyFill="1" applyBorder="1" applyAlignment="1">
      <alignment horizontal="right" vertical="center"/>
    </xf>
    <xf numFmtId="0" fontId="60" fillId="4" borderId="17" xfId="0" applyFont="1" applyFill="1" applyBorder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61" fillId="4" borderId="8" xfId="0" applyFont="1" applyFill="1" applyBorder="1" applyAlignment="1">
      <alignment horizontal="right" vertical="center"/>
    </xf>
    <xf numFmtId="0" fontId="61" fillId="4" borderId="82" xfId="0" applyFont="1" applyFill="1" applyBorder="1" applyAlignment="1">
      <alignment horizontal="right" vertical="center"/>
    </xf>
    <xf numFmtId="0" fontId="23" fillId="4" borderId="82" xfId="0" applyFont="1" applyFill="1" applyBorder="1" applyAlignment="1">
      <alignment horizontal="right" vertical="center"/>
    </xf>
    <xf numFmtId="3" fontId="7" fillId="2" borderId="85" xfId="0" applyNumberFormat="1" applyFont="1" applyFill="1" applyBorder="1" applyAlignment="1">
      <alignment horizontal="right" vertical="center"/>
    </xf>
    <xf numFmtId="3" fontId="7" fillId="0" borderId="86" xfId="0" applyNumberFormat="1" applyFont="1" applyBorder="1" applyAlignment="1">
      <alignment horizontal="right" vertical="center"/>
    </xf>
    <xf numFmtId="0" fontId="7" fillId="4" borderId="87" xfId="0" applyFont="1" applyFill="1" applyBorder="1" applyAlignment="1">
      <alignment horizontal="center" vertical="center"/>
    </xf>
    <xf numFmtId="0" fontId="23" fillId="4" borderId="86" xfId="0" applyFont="1" applyFill="1" applyBorder="1" applyAlignment="1">
      <alignment horizontal="right" vertical="center"/>
    </xf>
    <xf numFmtId="0" fontId="7" fillId="4" borderId="91" xfId="0" applyFont="1" applyFill="1" applyBorder="1" applyAlignment="1">
      <alignment horizontal="center" vertical="center"/>
    </xf>
    <xf numFmtId="3" fontId="61" fillId="4" borderId="91" xfId="0" applyNumberFormat="1" applyFont="1" applyFill="1" applyBorder="1" applyAlignment="1">
      <alignment horizontal="right" vertical="center"/>
    </xf>
    <xf numFmtId="3" fontId="60" fillId="4" borderId="17" xfId="0" applyNumberFormat="1" applyFont="1" applyFill="1" applyBorder="1" applyAlignment="1">
      <alignment horizontal="right" vertical="center"/>
    </xf>
    <xf numFmtId="0" fontId="61" fillId="4" borderId="83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/>
    </xf>
    <xf numFmtId="0" fontId="61" fillId="4" borderId="9" xfId="0" applyFont="1" applyFill="1" applyBorder="1" applyAlignment="1">
      <alignment horizontal="right" vertical="center"/>
    </xf>
    <xf numFmtId="3" fontId="61" fillId="4" borderId="9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3" fontId="61" fillId="4" borderId="8" xfId="0" applyNumberFormat="1" applyFont="1" applyFill="1" applyBorder="1" applyAlignment="1">
      <alignment horizontal="right" vertical="center"/>
    </xf>
    <xf numFmtId="3" fontId="58" fillId="0" borderId="24" xfId="0" applyNumberFormat="1" applyFont="1" applyBorder="1" applyAlignment="1">
      <alignment horizontal="right" vertical="center"/>
    </xf>
    <xf numFmtId="3" fontId="58" fillId="0" borderId="21" xfId="0" applyNumberFormat="1" applyFont="1" applyBorder="1" applyAlignment="1">
      <alignment horizontal="right" vertical="center"/>
    </xf>
    <xf numFmtId="3" fontId="61" fillId="4" borderId="0" xfId="0" applyNumberFormat="1" applyFont="1" applyFill="1" applyAlignment="1">
      <alignment horizontal="right" vertical="center"/>
    </xf>
    <xf numFmtId="0" fontId="7" fillId="4" borderId="22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right" vertical="center"/>
    </xf>
    <xf numFmtId="0" fontId="7" fillId="4" borderId="18" xfId="0" applyFont="1" applyFill="1" applyBorder="1" applyAlignment="1">
      <alignment horizontal="center" vertical="center"/>
    </xf>
    <xf numFmtId="3" fontId="61" fillId="4" borderId="92" xfId="0" applyNumberFormat="1" applyFont="1" applyFill="1" applyBorder="1" applyAlignment="1">
      <alignment horizontal="right" vertical="center"/>
    </xf>
    <xf numFmtId="3" fontId="61" fillId="4" borderId="10" xfId="0" applyNumberFormat="1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right" vertical="center"/>
    </xf>
    <xf numFmtId="0" fontId="61" fillId="4" borderId="21" xfId="0" applyFont="1" applyFill="1" applyBorder="1" applyAlignment="1">
      <alignment horizontal="right" vertical="center"/>
    </xf>
    <xf numFmtId="0" fontId="60" fillId="4" borderId="10" xfId="0" applyFont="1" applyFill="1" applyBorder="1" applyAlignment="1">
      <alignment horizontal="right" vertical="center"/>
    </xf>
    <xf numFmtId="3" fontId="48" fillId="4" borderId="17" xfId="0" applyNumberFormat="1" applyFont="1" applyFill="1" applyBorder="1">
      <alignment vertical="center"/>
    </xf>
    <xf numFmtId="0" fontId="60" fillId="4" borderId="8" xfId="0" applyFont="1" applyFill="1" applyBorder="1" applyAlignment="1">
      <alignment horizontal="right" vertical="center"/>
    </xf>
    <xf numFmtId="0" fontId="62" fillId="4" borderId="9" xfId="0" applyFont="1" applyFill="1" applyBorder="1" applyAlignment="1">
      <alignment horizontal="right" vertical="center"/>
    </xf>
    <xf numFmtId="0" fontId="62" fillId="4" borderId="8" xfId="0" applyFont="1" applyFill="1" applyBorder="1" applyAlignment="1">
      <alignment horizontal="right" vertical="center"/>
    </xf>
    <xf numFmtId="0" fontId="62" fillId="4" borderId="10" xfId="0" applyFont="1" applyFill="1" applyBorder="1" applyAlignment="1">
      <alignment horizontal="right" vertical="center"/>
    </xf>
    <xf numFmtId="0" fontId="44" fillId="0" borderId="24" xfId="0" applyFont="1" applyBorder="1" applyAlignment="1">
      <alignment horizontal="center" vertical="center"/>
    </xf>
    <xf numFmtId="0" fontId="5" fillId="0" borderId="22" xfId="0" applyFont="1" applyBorder="1" applyAlignment="1"/>
    <xf numFmtId="0" fontId="59" fillId="4" borderId="9" xfId="0" applyFont="1" applyFill="1" applyBorder="1" applyAlignment="1">
      <alignment horizontal="right" vertical="center"/>
    </xf>
    <xf numFmtId="0" fontId="62" fillId="4" borderId="10" xfId="0" applyFont="1" applyFill="1" applyBorder="1" applyAlignment="1">
      <alignment horizontal="center" vertical="center"/>
    </xf>
    <xf numFmtId="3" fontId="59" fillId="4" borderId="9" xfId="0" applyNumberFormat="1" applyFont="1" applyFill="1" applyBorder="1" applyAlignment="1">
      <alignment horizontal="right" vertical="center"/>
    </xf>
    <xf numFmtId="0" fontId="62" fillId="4" borderId="0" xfId="0" applyFont="1" applyFill="1" applyAlignment="1">
      <alignment horizontal="center" vertical="center"/>
    </xf>
    <xf numFmtId="3" fontId="59" fillId="4" borderId="8" xfId="0" applyNumberFormat="1" applyFont="1" applyFill="1" applyBorder="1" applyAlignment="1">
      <alignment horizontal="right" vertical="center"/>
    </xf>
    <xf numFmtId="3" fontId="63" fillId="4" borderId="8" xfId="0" applyNumberFormat="1" applyFont="1" applyFill="1" applyBorder="1" applyAlignment="1">
      <alignment horizontal="right" vertical="center"/>
    </xf>
    <xf numFmtId="0" fontId="59" fillId="4" borderId="8" xfId="0" applyFont="1" applyFill="1" applyBorder="1" applyAlignment="1">
      <alignment horizontal="right" vertical="center"/>
    </xf>
    <xf numFmtId="0" fontId="44" fillId="0" borderId="23" xfId="0" applyFont="1" applyBorder="1" applyAlignment="1">
      <alignment horizontal="center" vertical="center"/>
    </xf>
    <xf numFmtId="0" fontId="64" fillId="4" borderId="10" xfId="0" applyFont="1" applyFill="1" applyBorder="1">
      <alignment vertical="center"/>
    </xf>
    <xf numFmtId="3" fontId="60" fillId="4" borderId="10" xfId="0" applyNumberFormat="1" applyFont="1" applyFill="1" applyBorder="1" applyAlignment="1">
      <alignment horizontal="right" vertical="center"/>
    </xf>
    <xf numFmtId="0" fontId="64" fillId="4" borderId="24" xfId="0" applyFont="1" applyFill="1" applyBorder="1">
      <alignment vertical="center"/>
    </xf>
    <xf numFmtId="3" fontId="60" fillId="4" borderId="22" xfId="0" applyNumberFormat="1" applyFont="1" applyFill="1" applyBorder="1" applyAlignment="1">
      <alignment horizontal="right" vertical="center"/>
    </xf>
    <xf numFmtId="0" fontId="3" fillId="4" borderId="16" xfId="0" applyFont="1" applyFill="1" applyBorder="1">
      <alignment vertical="center"/>
    </xf>
    <xf numFmtId="0" fontId="64" fillId="4" borderId="22" xfId="0" applyFont="1" applyFill="1" applyBorder="1">
      <alignment vertical="center"/>
    </xf>
    <xf numFmtId="0" fontId="60" fillId="4" borderId="22" xfId="0" applyFont="1" applyFill="1" applyBorder="1" applyAlignment="1">
      <alignment horizontal="right" vertical="center"/>
    </xf>
    <xf numFmtId="0" fontId="60" fillId="4" borderId="21" xfId="0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3" fontId="58" fillId="0" borderId="17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horizontal="left" vertical="center"/>
    </xf>
    <xf numFmtId="0" fontId="5" fillId="0" borderId="21" xfId="0" applyFont="1" applyBorder="1" applyAlignment="1"/>
    <xf numFmtId="0" fontId="44" fillId="0" borderId="0" xfId="0" applyFont="1" applyAlignment="1"/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3" fillId="4" borderId="44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3" fontId="26" fillId="4" borderId="7" xfId="0" applyNumberFormat="1" applyFont="1" applyFill="1" applyBorder="1" applyAlignment="1">
      <alignment horizontal="center"/>
    </xf>
    <xf numFmtId="3" fontId="26" fillId="4" borderId="7" xfId="0" applyNumberFormat="1" applyFont="1" applyFill="1" applyBorder="1" applyAlignment="1"/>
    <xf numFmtId="3" fontId="26" fillId="4" borderId="13" xfId="0" applyNumberFormat="1" applyFont="1" applyFill="1" applyBorder="1" applyAlignment="1">
      <alignment horizontal="center"/>
    </xf>
    <xf numFmtId="3" fontId="26" fillId="4" borderId="45" xfId="0" applyNumberFormat="1" applyFont="1" applyFill="1" applyBorder="1" applyAlignment="1">
      <alignment horizontal="right"/>
    </xf>
    <xf numFmtId="3" fontId="28" fillId="4" borderId="7" xfId="0" applyNumberFormat="1" applyFont="1" applyFill="1" applyBorder="1" applyAlignment="1">
      <alignment horizontal="center"/>
    </xf>
    <xf numFmtId="3" fontId="28" fillId="4" borderId="7" xfId="0" applyNumberFormat="1" applyFont="1" applyFill="1" applyBorder="1" applyAlignment="1"/>
    <xf numFmtId="3" fontId="28" fillId="4" borderId="45" xfId="0" applyNumberFormat="1" applyFont="1" applyFill="1" applyBorder="1" applyAlignment="1">
      <alignment horizontal="center"/>
    </xf>
    <xf numFmtId="3" fontId="28" fillId="4" borderId="45" xfId="0" applyNumberFormat="1" applyFont="1" applyFill="1" applyBorder="1" applyAlignment="1">
      <alignment horizontal="right"/>
    </xf>
    <xf numFmtId="3" fontId="26" fillId="4" borderId="45" xfId="0" applyNumberFormat="1" applyFont="1" applyFill="1" applyBorder="1" applyAlignment="1">
      <alignment horizontal="center"/>
    </xf>
    <xf numFmtId="3" fontId="26" fillId="4" borderId="33" xfId="0" applyNumberFormat="1" applyFont="1" applyFill="1" applyBorder="1" applyAlignment="1"/>
    <xf numFmtId="3" fontId="28" fillId="4" borderId="13" xfId="0" applyNumberFormat="1" applyFont="1" applyFill="1" applyBorder="1" applyAlignment="1">
      <alignment horizontal="center"/>
    </xf>
    <xf numFmtId="3" fontId="28" fillId="4" borderId="33" xfId="0" applyNumberFormat="1" applyFont="1" applyFill="1" applyBorder="1" applyAlignment="1"/>
    <xf numFmtId="3" fontId="26" fillId="4" borderId="8" xfId="0" applyNumberFormat="1" applyFont="1" applyFill="1" applyBorder="1" applyAlignment="1">
      <alignment horizontal="right"/>
    </xf>
    <xf numFmtId="3" fontId="28" fillId="4" borderId="8" xfId="0" applyNumberFormat="1" applyFont="1" applyFill="1" applyBorder="1" applyAlignment="1">
      <alignment horizontal="right"/>
    </xf>
    <xf numFmtId="3" fontId="26" fillId="4" borderId="9" xfId="0" applyNumberFormat="1" applyFont="1" applyFill="1" applyBorder="1" applyAlignment="1">
      <alignment horizontal="right"/>
    </xf>
    <xf numFmtId="2" fontId="42" fillId="0" borderId="0" xfId="0" applyNumberFormat="1" applyFont="1">
      <alignment vertical="center"/>
    </xf>
    <xf numFmtId="3" fontId="28" fillId="4" borderId="9" xfId="0" applyNumberFormat="1" applyFont="1" applyFill="1" applyBorder="1" applyAlignment="1">
      <alignment horizontal="right"/>
    </xf>
    <xf numFmtId="3" fontId="26" fillId="4" borderId="6" xfId="0" applyNumberFormat="1" applyFont="1" applyFill="1" applyBorder="1" applyAlignment="1"/>
    <xf numFmtId="3" fontId="26" fillId="0" borderId="6" xfId="0" applyNumberFormat="1" applyFont="1" applyBorder="1" applyAlignment="1">
      <alignment horizontal="center"/>
    </xf>
    <xf numFmtId="3" fontId="26" fillId="0" borderId="18" xfId="0" applyNumberFormat="1" applyFont="1" applyBorder="1" applyAlignment="1"/>
    <xf numFmtId="3" fontId="26" fillId="4" borderId="23" xfId="0" applyNumberFormat="1" applyFont="1" applyFill="1" applyBorder="1" applyAlignment="1">
      <alignment horizontal="right"/>
    </xf>
    <xf numFmtId="3" fontId="26" fillId="0" borderId="12" xfId="0" applyNumberFormat="1" applyFont="1" applyBorder="1" applyAlignment="1">
      <alignment horizontal="center"/>
    </xf>
    <xf numFmtId="3" fontId="26" fillId="0" borderId="0" xfId="0" applyNumberFormat="1" applyFont="1" applyAlignment="1">
      <alignment horizontal="right"/>
    </xf>
    <xf numFmtId="0" fontId="42" fillId="0" borderId="0" xfId="0" applyFont="1">
      <alignment vertical="center"/>
    </xf>
    <xf numFmtId="3" fontId="65" fillId="4" borderId="7" xfId="0" applyNumberFormat="1" applyFont="1" applyFill="1" applyBorder="1" applyAlignment="1">
      <alignment horizontal="center"/>
    </xf>
    <xf numFmtId="3" fontId="65" fillId="4" borderId="6" xfId="0" applyNumberFormat="1" applyFont="1" applyFill="1" applyBorder="1" applyAlignment="1"/>
    <xf numFmtId="3" fontId="26" fillId="0" borderId="0" xfId="0" applyNumberFormat="1" applyFont="1" applyAlignment="1"/>
    <xf numFmtId="3" fontId="65" fillId="4" borderId="45" xfId="0" applyNumberFormat="1" applyFont="1" applyFill="1" applyBorder="1" applyAlignment="1">
      <alignment horizontal="center"/>
    </xf>
    <xf numFmtId="3" fontId="65" fillId="4" borderId="23" xfId="0" applyNumberFormat="1" applyFont="1" applyFill="1" applyBorder="1" applyAlignment="1">
      <alignment horizontal="right"/>
    </xf>
    <xf numFmtId="3" fontId="26" fillId="4" borderId="18" xfId="0" applyNumberFormat="1" applyFont="1" applyFill="1" applyBorder="1" applyAlignment="1"/>
    <xf numFmtId="3" fontId="26" fillId="4" borderId="10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B699C-24CD-424B-B150-F44ABEAB52B3}">
  <dimension ref="A1:V86"/>
  <sheetViews>
    <sheetView topLeftCell="A29" zoomScale="125" zoomScaleNormal="85" workbookViewId="0">
      <selection activeCell="H39" sqref="H39"/>
    </sheetView>
  </sheetViews>
  <sheetFormatPr baseColWidth="10" defaultColWidth="8.83203125" defaultRowHeight="18"/>
  <cols>
    <col min="1" max="1" width="4.6640625" customWidth="1"/>
    <col min="2" max="3" width="18.6640625" customWidth="1"/>
    <col min="4" max="4" width="25.6640625" style="220" customWidth="1"/>
    <col min="5" max="5" width="4.6640625" style="103" customWidth="1"/>
    <col min="6" max="6" width="14.6640625" customWidth="1"/>
    <col min="7" max="7" width="4.6640625" style="103" customWidth="1"/>
    <col min="8" max="8" width="14.6640625" customWidth="1"/>
    <col min="9" max="9" width="4.6640625" style="103" customWidth="1"/>
    <col min="10" max="10" width="14.6640625" customWidth="1"/>
    <col min="11" max="11" width="4.6640625" style="103" customWidth="1"/>
    <col min="12" max="12" width="14.6640625" customWidth="1"/>
    <col min="13" max="13" width="4.6640625" style="103" customWidth="1"/>
    <col min="14" max="14" width="14.6640625" customWidth="1"/>
    <col min="15" max="15" width="4.6640625" style="103" customWidth="1"/>
    <col min="16" max="16" width="14.6640625" customWidth="1"/>
    <col min="21" max="21" width="12.33203125" customWidth="1"/>
  </cols>
  <sheetData>
    <row r="1" spans="1:18" ht="16" customHeight="1">
      <c r="A1" s="35"/>
      <c r="B1" s="35"/>
      <c r="C1" s="35"/>
      <c r="D1" s="217"/>
      <c r="E1" s="92"/>
      <c r="F1" s="35"/>
      <c r="G1" s="92"/>
      <c r="H1" s="35"/>
      <c r="I1" s="92"/>
      <c r="J1" s="35"/>
      <c r="K1" s="92"/>
      <c r="L1" s="35"/>
      <c r="M1" s="92"/>
      <c r="N1" s="35"/>
      <c r="O1" s="92"/>
      <c r="P1" s="35"/>
      <c r="Q1" s="35"/>
      <c r="R1" s="11"/>
    </row>
    <row r="2" spans="1:18" ht="16" customHeight="1">
      <c r="A2" s="517" t="s">
        <v>117</v>
      </c>
      <c r="B2" s="518"/>
      <c r="C2" s="518"/>
      <c r="D2" s="518"/>
      <c r="E2" s="518"/>
      <c r="F2" s="518"/>
      <c r="G2" s="92"/>
      <c r="H2" s="35"/>
      <c r="I2" s="92"/>
      <c r="J2" s="35"/>
      <c r="K2" s="92"/>
      <c r="L2" s="35"/>
      <c r="M2" s="92"/>
      <c r="N2" s="35"/>
      <c r="O2" s="92"/>
      <c r="P2" s="35"/>
      <c r="Q2" s="35"/>
      <c r="R2" s="11"/>
    </row>
    <row r="3" spans="1:18" ht="16" customHeight="1">
      <c r="A3" s="35"/>
      <c r="B3" s="35"/>
      <c r="C3" s="35"/>
      <c r="D3" s="217"/>
      <c r="E3" s="92"/>
      <c r="F3" s="36" t="s">
        <v>77</v>
      </c>
      <c r="G3" s="92"/>
      <c r="H3" s="35"/>
      <c r="I3" s="92"/>
      <c r="J3" s="35"/>
      <c r="K3" s="92"/>
      <c r="L3" s="35"/>
      <c r="M3" s="92"/>
      <c r="N3" s="35"/>
      <c r="O3" s="92"/>
      <c r="P3" s="35"/>
      <c r="Q3" s="35"/>
      <c r="R3" s="11"/>
    </row>
    <row r="4" spans="1:18" ht="16" customHeight="1">
      <c r="A4" s="35"/>
      <c r="B4" s="35"/>
      <c r="C4" s="35"/>
      <c r="D4" s="217"/>
      <c r="E4" s="92"/>
      <c r="F4" s="37" t="s">
        <v>78</v>
      </c>
      <c r="G4" s="92"/>
      <c r="H4" s="35"/>
      <c r="I4" s="92"/>
      <c r="J4" s="35"/>
      <c r="K4" s="92"/>
      <c r="L4" s="35"/>
      <c r="M4" s="92"/>
      <c r="N4" s="35"/>
      <c r="O4" s="92"/>
      <c r="P4" s="35"/>
      <c r="Q4" s="35"/>
      <c r="R4" s="11"/>
    </row>
    <row r="5" spans="1:18" ht="16" customHeight="1">
      <c r="A5" s="35"/>
      <c r="B5" s="35"/>
      <c r="C5" s="35"/>
      <c r="D5" s="217"/>
      <c r="E5" s="104" t="s">
        <v>79</v>
      </c>
      <c r="F5" s="38" t="s">
        <v>80</v>
      </c>
      <c r="G5" s="104" t="s">
        <v>79</v>
      </c>
      <c r="H5" s="38" t="s">
        <v>81</v>
      </c>
      <c r="I5" s="104" t="s">
        <v>79</v>
      </c>
      <c r="J5" s="38" t="s">
        <v>82</v>
      </c>
      <c r="K5" s="104" t="s">
        <v>79</v>
      </c>
      <c r="L5" s="38" t="s">
        <v>83</v>
      </c>
      <c r="M5" s="104" t="s">
        <v>79</v>
      </c>
      <c r="N5" s="38" t="s">
        <v>84</v>
      </c>
      <c r="O5" s="92"/>
      <c r="P5" s="35"/>
      <c r="Q5" s="35"/>
      <c r="R5" s="11"/>
    </row>
    <row r="6" spans="1:18" ht="16" customHeight="1">
      <c r="A6" s="35"/>
      <c r="B6" s="35"/>
      <c r="C6" s="35"/>
      <c r="D6" s="217"/>
      <c r="E6" s="39">
        <v>1</v>
      </c>
      <c r="F6" s="205" t="s">
        <v>86</v>
      </c>
      <c r="G6" s="39">
        <v>1</v>
      </c>
      <c r="H6" s="205" t="s">
        <v>88</v>
      </c>
      <c r="I6" s="39">
        <v>1</v>
      </c>
      <c r="J6" s="209" t="s">
        <v>93</v>
      </c>
      <c r="K6" s="39">
        <v>1</v>
      </c>
      <c r="L6" s="209" t="s">
        <v>93</v>
      </c>
      <c r="M6" s="39">
        <v>1</v>
      </c>
      <c r="N6" s="205" t="s">
        <v>89</v>
      </c>
      <c r="O6" s="92"/>
      <c r="P6" s="35"/>
      <c r="Q6" s="35"/>
      <c r="R6" s="11"/>
    </row>
    <row r="7" spans="1:18" ht="16" customHeight="1">
      <c r="A7" s="35"/>
      <c r="B7" s="35"/>
      <c r="C7" s="35"/>
      <c r="D7" s="217"/>
      <c r="E7" s="39"/>
      <c r="F7" s="211">
        <f>F33</f>
        <v>135</v>
      </c>
      <c r="G7" s="211"/>
      <c r="H7" s="211">
        <f>H35</f>
        <v>300</v>
      </c>
      <c r="I7" s="211"/>
      <c r="J7" s="211">
        <f>J41</f>
        <v>3000</v>
      </c>
      <c r="K7" s="211"/>
      <c r="L7" s="211">
        <f>L41</f>
        <v>4500</v>
      </c>
      <c r="M7" s="211"/>
      <c r="N7" s="211">
        <f>N36</f>
        <v>27</v>
      </c>
      <c r="O7" s="92"/>
      <c r="P7" s="35"/>
      <c r="Q7" s="35"/>
      <c r="R7" s="11"/>
    </row>
    <row r="8" spans="1:18" ht="16" customHeight="1">
      <c r="A8" s="35"/>
      <c r="B8" s="35"/>
      <c r="C8" s="35"/>
      <c r="D8" s="217"/>
      <c r="E8" s="40">
        <v>2</v>
      </c>
      <c r="F8" s="206" t="s">
        <v>90</v>
      </c>
      <c r="G8" s="41">
        <v>2</v>
      </c>
      <c r="H8" s="207" t="s">
        <v>89</v>
      </c>
      <c r="I8" s="41">
        <v>2</v>
      </c>
      <c r="J8" s="207" t="s">
        <v>139</v>
      </c>
      <c r="K8" s="41">
        <v>2</v>
      </c>
      <c r="L8" s="207" t="s">
        <v>175</v>
      </c>
      <c r="M8" s="41">
        <v>2</v>
      </c>
      <c r="N8" s="207" t="s">
        <v>139</v>
      </c>
      <c r="O8" s="92"/>
      <c r="P8" s="35"/>
      <c r="Q8" s="35"/>
      <c r="R8" s="11"/>
    </row>
    <row r="9" spans="1:18" ht="16" customHeight="1">
      <c r="A9" s="35"/>
      <c r="B9" s="35"/>
      <c r="C9" s="35"/>
      <c r="D9" s="217"/>
      <c r="E9" s="42"/>
      <c r="F9" s="212">
        <f>F34</f>
        <v>6</v>
      </c>
      <c r="G9" s="212"/>
      <c r="H9" s="213">
        <f>H36</f>
        <v>83</v>
      </c>
      <c r="I9" s="213"/>
      <c r="J9" s="213">
        <f>J43</f>
        <v>3000</v>
      </c>
      <c r="K9" s="213"/>
      <c r="L9" s="213">
        <f>L42</f>
        <v>30</v>
      </c>
      <c r="M9" s="213"/>
      <c r="N9" s="213">
        <f>N43</f>
        <v>27</v>
      </c>
      <c r="O9" s="92"/>
      <c r="P9" s="35"/>
      <c r="Q9" s="35"/>
      <c r="R9" s="11"/>
    </row>
    <row r="10" spans="1:18" ht="16" customHeight="1">
      <c r="A10" s="35"/>
      <c r="B10" s="35"/>
      <c r="C10" s="35"/>
      <c r="D10" s="217"/>
      <c r="E10" s="39">
        <v>3</v>
      </c>
      <c r="F10" s="205" t="s">
        <v>139</v>
      </c>
      <c r="G10" s="44">
        <v>3</v>
      </c>
      <c r="H10" s="208" t="s">
        <v>28</v>
      </c>
      <c r="I10" s="39">
        <v>3</v>
      </c>
      <c r="J10" s="205" t="s">
        <v>97</v>
      </c>
      <c r="K10" s="39">
        <v>3</v>
      </c>
      <c r="L10" s="205" t="s">
        <v>139</v>
      </c>
      <c r="M10" s="39">
        <v>3</v>
      </c>
      <c r="N10" s="205" t="s">
        <v>97</v>
      </c>
      <c r="O10" s="92"/>
      <c r="P10" s="35"/>
      <c r="Q10" s="35"/>
      <c r="R10" s="11"/>
    </row>
    <row r="11" spans="1:18" ht="16" customHeight="1">
      <c r="A11" s="35"/>
      <c r="B11" s="35"/>
      <c r="C11" s="35"/>
      <c r="D11" s="217"/>
      <c r="E11" s="39"/>
      <c r="F11" s="211">
        <f>F43</f>
        <v>141</v>
      </c>
      <c r="G11" s="214"/>
      <c r="H11" s="214">
        <f>H37</f>
        <v>180</v>
      </c>
      <c r="I11" s="211"/>
      <c r="J11" s="211">
        <f>J44</f>
        <v>90</v>
      </c>
      <c r="K11" s="211"/>
      <c r="L11" s="211">
        <f>L43</f>
        <v>4530</v>
      </c>
      <c r="M11" s="211"/>
      <c r="N11" s="211">
        <f>N44</f>
        <v>1</v>
      </c>
      <c r="O11" s="92"/>
      <c r="P11" s="35"/>
      <c r="Q11" s="35"/>
      <c r="R11" s="11"/>
    </row>
    <row r="12" spans="1:18" ht="16" customHeight="1">
      <c r="A12" s="35"/>
      <c r="B12" s="35"/>
      <c r="C12" s="35"/>
      <c r="D12" s="217"/>
      <c r="E12" s="41">
        <v>4</v>
      </c>
      <c r="F12" s="207" t="s">
        <v>97</v>
      </c>
      <c r="G12" s="40">
        <v>4</v>
      </c>
      <c r="H12" s="206" t="s">
        <v>39</v>
      </c>
      <c r="I12" s="41">
        <v>4</v>
      </c>
      <c r="J12" s="207" t="s">
        <v>142</v>
      </c>
      <c r="K12" s="41">
        <v>4</v>
      </c>
      <c r="L12" s="207" t="s">
        <v>97</v>
      </c>
      <c r="M12" s="41">
        <v>4</v>
      </c>
      <c r="N12" s="207" t="s">
        <v>142</v>
      </c>
      <c r="O12" s="92"/>
      <c r="P12" s="35"/>
      <c r="Q12" s="35"/>
      <c r="R12" s="11"/>
    </row>
    <row r="13" spans="1:18" ht="16" customHeight="1">
      <c r="A13" s="35"/>
      <c r="B13" s="35"/>
      <c r="C13" s="35"/>
      <c r="D13" s="217"/>
      <c r="E13" s="43"/>
      <c r="F13" s="213">
        <f>F44</f>
        <v>4</v>
      </c>
      <c r="G13" s="212"/>
      <c r="H13" s="212">
        <f>H38</f>
        <v>80</v>
      </c>
      <c r="I13" s="213"/>
      <c r="J13" s="213">
        <f>J45</f>
        <v>100</v>
      </c>
      <c r="K13" s="213"/>
      <c r="L13" s="213">
        <f>L44</f>
        <v>136</v>
      </c>
      <c r="M13" s="213"/>
      <c r="N13" s="213">
        <f>N45</f>
        <v>197</v>
      </c>
      <c r="O13" s="92"/>
      <c r="P13" s="35"/>
      <c r="Q13" s="35"/>
      <c r="R13" s="11"/>
    </row>
    <row r="14" spans="1:18" ht="16" customHeight="1">
      <c r="A14" s="35"/>
      <c r="B14" s="35"/>
      <c r="C14" s="35"/>
      <c r="D14" s="217"/>
      <c r="E14" s="39">
        <v>5</v>
      </c>
      <c r="F14" s="205" t="s">
        <v>53</v>
      </c>
      <c r="G14" s="39">
        <v>5</v>
      </c>
      <c r="H14" s="209" t="s">
        <v>176</v>
      </c>
      <c r="I14" s="39">
        <v>5</v>
      </c>
      <c r="J14" s="205" t="s">
        <v>53</v>
      </c>
      <c r="K14" s="39">
        <v>5</v>
      </c>
      <c r="L14" s="205" t="s">
        <v>142</v>
      </c>
      <c r="M14" s="39">
        <v>5</v>
      </c>
      <c r="N14" s="205" t="s">
        <v>53</v>
      </c>
      <c r="O14" s="92"/>
      <c r="P14" s="35"/>
      <c r="Q14" s="35"/>
      <c r="R14" s="11"/>
    </row>
    <row r="15" spans="1:18" ht="16" customHeight="1">
      <c r="A15" s="35"/>
      <c r="B15" s="35"/>
      <c r="C15" s="35"/>
      <c r="D15" s="217"/>
      <c r="E15" s="39"/>
      <c r="F15" s="211">
        <f>F46</f>
        <v>145</v>
      </c>
      <c r="G15" s="211"/>
      <c r="H15" s="211">
        <f>H39</f>
        <v>1100</v>
      </c>
      <c r="I15" s="211"/>
      <c r="J15" s="211">
        <f>J46</f>
        <v>3190</v>
      </c>
      <c r="K15" s="211"/>
      <c r="L15" s="211">
        <f>L45</f>
        <v>103</v>
      </c>
      <c r="M15" s="211"/>
      <c r="N15" s="211">
        <f>N46</f>
        <v>225</v>
      </c>
      <c r="O15" s="92"/>
      <c r="P15" s="35"/>
      <c r="Q15" s="35"/>
      <c r="R15" s="11"/>
    </row>
    <row r="16" spans="1:18" ht="16" customHeight="1">
      <c r="A16" s="35"/>
      <c r="B16" s="35"/>
      <c r="C16" s="35"/>
      <c r="D16" s="217"/>
      <c r="E16" s="41">
        <v>6</v>
      </c>
      <c r="F16" s="207" t="s">
        <v>147</v>
      </c>
      <c r="G16" s="40">
        <v>6</v>
      </c>
      <c r="H16" s="210" t="s">
        <v>177</v>
      </c>
      <c r="I16" s="41">
        <v>6</v>
      </c>
      <c r="J16" s="207" t="s">
        <v>147</v>
      </c>
      <c r="K16" s="41">
        <v>6</v>
      </c>
      <c r="L16" s="207" t="s">
        <v>53</v>
      </c>
      <c r="M16" s="41">
        <v>6</v>
      </c>
      <c r="N16" s="207" t="s">
        <v>101</v>
      </c>
      <c r="O16" s="92"/>
      <c r="P16" s="35"/>
      <c r="Q16" s="35"/>
      <c r="R16" s="11"/>
    </row>
    <row r="17" spans="1:18" ht="16" customHeight="1">
      <c r="A17" s="35"/>
      <c r="B17" s="35"/>
      <c r="C17" s="35"/>
      <c r="D17" s="217"/>
      <c r="E17" s="43"/>
      <c r="F17" s="213">
        <f>F48</f>
        <v>145</v>
      </c>
      <c r="G17" s="212"/>
      <c r="H17" s="212">
        <f>H40</f>
        <v>1000</v>
      </c>
      <c r="I17" s="213"/>
      <c r="J17" s="213">
        <f>J48</f>
        <v>3190</v>
      </c>
      <c r="K17" s="213"/>
      <c r="L17" s="213">
        <f>L46</f>
        <v>4769</v>
      </c>
      <c r="M17" s="213"/>
      <c r="N17" s="213">
        <f>N47</f>
        <v>4918</v>
      </c>
      <c r="O17" s="92"/>
      <c r="P17" s="35"/>
      <c r="Q17" s="35"/>
      <c r="R17" s="11"/>
    </row>
    <row r="18" spans="1:18" ht="16" customHeight="1">
      <c r="A18" s="35"/>
      <c r="B18" s="35"/>
      <c r="C18" s="35"/>
      <c r="D18" s="217"/>
      <c r="E18" s="45"/>
      <c r="F18" s="45"/>
      <c r="G18" s="39">
        <v>7</v>
      </c>
      <c r="H18" s="205" t="s">
        <v>139</v>
      </c>
      <c r="I18" s="45"/>
      <c r="J18" s="45"/>
      <c r="K18" s="39">
        <v>7</v>
      </c>
      <c r="L18" s="207" t="s">
        <v>147</v>
      </c>
      <c r="M18" s="39">
        <v>7</v>
      </c>
      <c r="N18" s="207" t="s">
        <v>147</v>
      </c>
      <c r="O18" s="92"/>
      <c r="P18" s="35"/>
      <c r="Q18" s="35"/>
      <c r="R18" s="11"/>
    </row>
    <row r="19" spans="1:18" ht="16" customHeight="1">
      <c r="A19" s="35"/>
      <c r="B19" s="35"/>
      <c r="C19" s="35"/>
      <c r="D19" s="217"/>
      <c r="E19" s="45"/>
      <c r="F19" s="45"/>
      <c r="G19" s="39"/>
      <c r="H19" s="211">
        <f>H43</f>
        <v>2743</v>
      </c>
      <c r="I19" s="215"/>
      <c r="J19" s="215"/>
      <c r="K19" s="213"/>
      <c r="L19" s="213">
        <f>L48</f>
        <v>4769</v>
      </c>
      <c r="M19" s="211"/>
      <c r="N19" s="213">
        <f>N48</f>
        <v>5143</v>
      </c>
      <c r="O19" s="92"/>
      <c r="P19" s="35"/>
      <c r="Q19" s="35"/>
      <c r="R19" s="11"/>
    </row>
    <row r="20" spans="1:18" ht="16" customHeight="1">
      <c r="A20" s="35"/>
      <c r="B20" s="35"/>
      <c r="C20" s="35"/>
      <c r="D20" s="217"/>
      <c r="E20" s="45"/>
      <c r="F20" s="45"/>
      <c r="G20" s="41">
        <v>8</v>
      </c>
      <c r="H20" s="207" t="s">
        <v>97</v>
      </c>
      <c r="I20" s="45"/>
      <c r="J20" s="45"/>
      <c r="K20" s="45"/>
      <c r="L20" s="45"/>
      <c r="M20" s="46"/>
      <c r="N20" s="46"/>
      <c r="O20" s="92"/>
      <c r="P20" s="35"/>
      <c r="Q20" s="35"/>
      <c r="R20" s="11"/>
    </row>
    <row r="21" spans="1:18" ht="16" customHeight="1">
      <c r="A21" s="35"/>
      <c r="B21" s="35"/>
      <c r="C21" s="35"/>
      <c r="D21" s="217"/>
      <c r="E21" s="45"/>
      <c r="F21" s="45"/>
      <c r="G21" s="43"/>
      <c r="H21" s="213">
        <f>H44</f>
        <v>82</v>
      </c>
      <c r="I21" s="45"/>
      <c r="J21" s="45"/>
      <c r="K21" s="45"/>
      <c r="L21" s="45"/>
      <c r="M21" s="47"/>
      <c r="N21" s="47"/>
      <c r="O21" s="92"/>
      <c r="P21" s="35"/>
      <c r="Q21" s="35"/>
      <c r="R21" s="11"/>
    </row>
    <row r="22" spans="1:18" ht="16" customHeight="1">
      <c r="A22" s="35"/>
      <c r="B22" s="35"/>
      <c r="C22" s="35"/>
      <c r="D22" s="217"/>
      <c r="E22" s="45"/>
      <c r="F22" s="45"/>
      <c r="G22" s="39">
        <v>9</v>
      </c>
      <c r="H22" s="205" t="s">
        <v>142</v>
      </c>
      <c r="I22" s="45"/>
      <c r="J22" s="45"/>
      <c r="K22" s="45"/>
      <c r="L22" s="45"/>
      <c r="M22" s="45"/>
      <c r="N22" s="45"/>
      <c r="O22" s="92"/>
      <c r="P22" s="35"/>
      <c r="Q22" s="35"/>
      <c r="R22" s="11"/>
    </row>
    <row r="23" spans="1:18" ht="16" customHeight="1">
      <c r="A23" s="35"/>
      <c r="B23" s="35"/>
      <c r="C23" s="35"/>
      <c r="D23" s="217"/>
      <c r="E23" s="45"/>
      <c r="F23" s="45"/>
      <c r="G23" s="39"/>
      <c r="H23" s="211">
        <f>H45</f>
        <v>2</v>
      </c>
      <c r="I23" s="45"/>
      <c r="J23" s="45"/>
      <c r="K23" s="45"/>
      <c r="L23" s="45"/>
      <c r="M23" s="45"/>
      <c r="N23" s="45"/>
      <c r="O23" s="92"/>
      <c r="P23" s="35"/>
      <c r="Q23" s="35"/>
      <c r="R23" s="11"/>
    </row>
    <row r="24" spans="1:18" ht="16" customHeight="1">
      <c r="A24" s="35"/>
      <c r="B24" s="35"/>
      <c r="C24" s="35"/>
      <c r="D24" s="217"/>
      <c r="E24" s="45"/>
      <c r="F24" s="45"/>
      <c r="G24" s="41">
        <v>10</v>
      </c>
      <c r="H24" s="207" t="s">
        <v>53</v>
      </c>
      <c r="I24" s="45"/>
      <c r="J24" s="45"/>
      <c r="K24" s="45"/>
      <c r="L24" s="45"/>
      <c r="M24" s="45"/>
      <c r="N24" s="45"/>
      <c r="O24" s="92"/>
      <c r="P24" s="35"/>
      <c r="Q24" s="35"/>
      <c r="R24" s="11"/>
    </row>
    <row r="25" spans="1:18" ht="16" customHeight="1">
      <c r="A25" s="35"/>
      <c r="B25" s="35"/>
      <c r="C25" s="35"/>
      <c r="D25" s="217"/>
      <c r="E25" s="45"/>
      <c r="F25" s="45"/>
      <c r="G25" s="43"/>
      <c r="H25" s="213">
        <f>H46</f>
        <v>2827</v>
      </c>
      <c r="I25" s="45"/>
      <c r="J25" s="45"/>
      <c r="K25" s="45"/>
      <c r="L25" s="45"/>
      <c r="M25" s="45"/>
      <c r="N25" s="45"/>
      <c r="O25" s="92"/>
      <c r="P25" s="35"/>
      <c r="Q25" s="35"/>
      <c r="R25" s="11"/>
    </row>
    <row r="26" spans="1:18" ht="16" customHeight="1">
      <c r="A26" s="35"/>
      <c r="B26" s="35"/>
      <c r="C26" s="35"/>
      <c r="D26" s="217"/>
      <c r="E26" s="45"/>
      <c r="F26" s="45"/>
      <c r="G26" s="41">
        <v>11</v>
      </c>
      <c r="H26" s="207" t="s">
        <v>147</v>
      </c>
      <c r="I26" s="45"/>
      <c r="J26" s="45"/>
      <c r="K26" s="45"/>
      <c r="L26" s="45"/>
      <c r="M26" s="45"/>
      <c r="N26" s="45"/>
      <c r="O26" s="92"/>
      <c r="P26" s="35"/>
      <c r="Q26" s="35"/>
      <c r="R26" s="11"/>
    </row>
    <row r="27" spans="1:18" ht="16" customHeight="1">
      <c r="A27" s="35"/>
      <c r="B27" s="35"/>
      <c r="C27" s="35"/>
      <c r="D27" s="217"/>
      <c r="E27" s="45"/>
      <c r="F27" s="45"/>
      <c r="G27" s="43"/>
      <c r="H27" s="213">
        <f>H48</f>
        <v>2827</v>
      </c>
      <c r="I27" s="45"/>
      <c r="J27" s="45"/>
      <c r="K27" s="45"/>
      <c r="L27" s="45"/>
      <c r="M27" s="45"/>
      <c r="N27" s="45"/>
      <c r="O27" s="92"/>
      <c r="P27" s="35"/>
      <c r="Q27" s="35"/>
      <c r="R27" s="11"/>
    </row>
    <row r="28" spans="1:18" ht="16" customHeight="1">
      <c r="A28" s="35"/>
      <c r="B28" s="35"/>
      <c r="C28" s="35"/>
      <c r="D28" s="217"/>
      <c r="E28" s="45"/>
      <c r="F28" s="48"/>
      <c r="G28" s="45"/>
      <c r="H28" s="48"/>
      <c r="I28" s="45"/>
      <c r="J28" s="48"/>
      <c r="K28" s="45"/>
      <c r="L28" s="48"/>
      <c r="M28" s="45"/>
      <c r="N28" s="48"/>
      <c r="O28" s="92"/>
      <c r="P28" s="35"/>
      <c r="Q28" s="35"/>
      <c r="R28" s="11"/>
    </row>
    <row r="29" spans="1:18" ht="16" customHeight="1">
      <c r="A29" s="35"/>
      <c r="B29" s="35"/>
      <c r="C29" s="35"/>
      <c r="D29" s="217"/>
      <c r="E29" s="45"/>
      <c r="F29" s="48"/>
      <c r="G29" s="45"/>
      <c r="H29" s="48"/>
      <c r="I29" s="45"/>
      <c r="J29" s="48"/>
      <c r="K29" s="45"/>
      <c r="L29" s="48"/>
      <c r="M29" s="45"/>
      <c r="N29" s="48"/>
      <c r="O29" s="92"/>
      <c r="P29" s="35"/>
      <c r="Q29" s="35"/>
      <c r="R29" s="11"/>
    </row>
    <row r="30" spans="1:18" ht="16" customHeight="1">
      <c r="A30" s="519" t="s">
        <v>118</v>
      </c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35"/>
      <c r="R30" s="11"/>
    </row>
    <row r="31" spans="1:18" ht="16" customHeight="1">
      <c r="A31" s="521"/>
      <c r="B31" s="522"/>
      <c r="C31" s="522"/>
      <c r="D31" s="523"/>
      <c r="E31" s="526" t="s">
        <v>9</v>
      </c>
      <c r="F31" s="523"/>
      <c r="G31" s="526" t="s">
        <v>119</v>
      </c>
      <c r="H31" s="523"/>
      <c r="I31" s="526" t="s">
        <v>120</v>
      </c>
      <c r="J31" s="523"/>
      <c r="K31" s="526" t="s">
        <v>121</v>
      </c>
      <c r="L31" s="523"/>
      <c r="M31" s="526" t="s">
        <v>122</v>
      </c>
      <c r="N31" s="523"/>
      <c r="O31" s="526" t="s">
        <v>123</v>
      </c>
      <c r="P31" s="523"/>
      <c r="Q31" s="35"/>
      <c r="R31" s="11"/>
    </row>
    <row r="32" spans="1:18" ht="16" customHeight="1" thickBot="1">
      <c r="A32" s="524"/>
      <c r="B32" s="520"/>
      <c r="C32" s="520"/>
      <c r="D32" s="525"/>
      <c r="E32" s="524"/>
      <c r="F32" s="525"/>
      <c r="G32" s="524"/>
      <c r="H32" s="525"/>
      <c r="I32" s="524"/>
      <c r="J32" s="525"/>
      <c r="K32" s="524"/>
      <c r="L32" s="525"/>
      <c r="M32" s="524"/>
      <c r="N32" s="525"/>
      <c r="O32" s="524"/>
      <c r="P32" s="525"/>
      <c r="Q32" s="35"/>
      <c r="R32" s="11"/>
    </row>
    <row r="33" spans="1:22" ht="16" customHeight="1" thickTop="1" thickBot="1">
      <c r="A33" s="529" t="s">
        <v>15</v>
      </c>
      <c r="B33" s="532" t="s">
        <v>124</v>
      </c>
      <c r="C33" s="534" t="s">
        <v>86</v>
      </c>
      <c r="D33" s="535"/>
      <c r="E33" s="121" t="s">
        <v>125</v>
      </c>
      <c r="F33" s="172">
        <f>20+40+(7500*1/100)</f>
        <v>135</v>
      </c>
      <c r="G33" s="105"/>
      <c r="H33" s="148"/>
      <c r="I33" s="105"/>
      <c r="J33" s="148"/>
      <c r="K33" s="105"/>
      <c r="L33" s="148"/>
      <c r="M33" s="105"/>
      <c r="N33" s="148"/>
      <c r="O33" s="93"/>
      <c r="P33" s="144">
        <f>F33</f>
        <v>135</v>
      </c>
      <c r="Q33" s="35"/>
      <c r="R33" s="11"/>
    </row>
    <row r="34" spans="1:22" ht="16" customHeight="1" thickTop="1" thickBot="1">
      <c r="A34" s="530"/>
      <c r="B34" s="533"/>
      <c r="C34" s="536" t="s">
        <v>90</v>
      </c>
      <c r="D34" s="537"/>
      <c r="E34" s="106"/>
      <c r="F34" s="194">
        <v>6</v>
      </c>
      <c r="G34" s="108"/>
      <c r="H34" s="170"/>
      <c r="I34" s="106"/>
      <c r="J34" s="149"/>
      <c r="K34" s="106"/>
      <c r="L34" s="149"/>
      <c r="M34" s="106"/>
      <c r="N34" s="149"/>
      <c r="O34" s="94"/>
      <c r="P34" s="136">
        <f>F34</f>
        <v>6</v>
      </c>
      <c r="Q34" s="35"/>
      <c r="R34" s="11"/>
    </row>
    <row r="35" spans="1:22" ht="16" customHeight="1" thickTop="1" thickBot="1">
      <c r="A35" s="530"/>
      <c r="B35" s="533"/>
      <c r="C35" s="536" t="s">
        <v>88</v>
      </c>
      <c r="D35" s="537"/>
      <c r="E35" s="106"/>
      <c r="F35" s="201"/>
      <c r="G35" s="121" t="s">
        <v>126</v>
      </c>
      <c r="H35" s="172">
        <f>ROUND(7500*4/100,0)</f>
        <v>300</v>
      </c>
      <c r="I35" s="106"/>
      <c r="J35" s="149"/>
      <c r="K35" s="106"/>
      <c r="L35" s="149"/>
      <c r="M35" s="106"/>
      <c r="N35" s="149"/>
      <c r="O35" s="95"/>
      <c r="P35" s="137">
        <f>H35</f>
        <v>300</v>
      </c>
      <c r="Q35" s="35"/>
      <c r="R35" s="11"/>
    </row>
    <row r="36" spans="1:22" ht="16" customHeight="1" thickTop="1" thickBot="1">
      <c r="A36" s="530"/>
      <c r="B36" s="533"/>
      <c r="C36" s="536" t="s">
        <v>91</v>
      </c>
      <c r="D36" s="537"/>
      <c r="E36" s="106"/>
      <c r="F36" s="201"/>
      <c r="G36" s="121" t="s">
        <v>127</v>
      </c>
      <c r="H36" s="172">
        <f>20+60+15*20/100</f>
        <v>83</v>
      </c>
      <c r="I36" s="106"/>
      <c r="J36" s="149"/>
      <c r="K36" s="106"/>
      <c r="L36" s="149"/>
      <c r="M36" s="106"/>
      <c r="N36" s="150">
        <f>15+15*80/100</f>
        <v>27</v>
      </c>
      <c r="O36" s="96" t="s">
        <v>128</v>
      </c>
      <c r="P36" s="138">
        <f>H36+N36</f>
        <v>110</v>
      </c>
      <c r="Q36" s="35"/>
      <c r="R36" s="11"/>
    </row>
    <row r="37" spans="1:22" ht="16" customHeight="1" thickTop="1">
      <c r="A37" s="530"/>
      <c r="B37" s="532" t="s">
        <v>129</v>
      </c>
      <c r="C37" s="534" t="s">
        <v>28</v>
      </c>
      <c r="D37" s="539"/>
      <c r="E37" s="105"/>
      <c r="F37" s="148"/>
      <c r="G37" s="106"/>
      <c r="H37" s="194">
        <v>180</v>
      </c>
      <c r="I37" s="105"/>
      <c r="J37" s="148"/>
      <c r="K37" s="105"/>
      <c r="L37" s="148"/>
      <c r="M37" s="105"/>
      <c r="N37" s="148"/>
      <c r="O37" s="94"/>
      <c r="P37" s="136">
        <f>H37</f>
        <v>180</v>
      </c>
      <c r="Q37" s="35"/>
      <c r="R37" s="11"/>
    </row>
    <row r="38" spans="1:22" ht="16" customHeight="1" thickBot="1">
      <c r="A38" s="530"/>
      <c r="B38" s="538"/>
      <c r="C38" s="540" t="s">
        <v>39</v>
      </c>
      <c r="D38" s="541"/>
      <c r="E38" s="107"/>
      <c r="F38" s="151"/>
      <c r="G38" s="108"/>
      <c r="H38" s="195">
        <v>80</v>
      </c>
      <c r="I38" s="107"/>
      <c r="J38" s="151"/>
      <c r="K38" s="107"/>
      <c r="L38" s="151"/>
      <c r="M38" s="107"/>
      <c r="N38" s="151"/>
      <c r="O38" s="97"/>
      <c r="P38" s="139">
        <f>H38</f>
        <v>80</v>
      </c>
      <c r="Q38" s="35"/>
      <c r="R38" s="11"/>
    </row>
    <row r="39" spans="1:22" ht="16" customHeight="1" thickTop="1" thickBot="1">
      <c r="A39" s="530"/>
      <c r="B39" s="542" t="s">
        <v>130</v>
      </c>
      <c r="C39" s="534" t="s">
        <v>131</v>
      </c>
      <c r="D39" s="539"/>
      <c r="E39" s="106"/>
      <c r="F39" s="201"/>
      <c r="G39" s="121" t="s">
        <v>132</v>
      </c>
      <c r="H39" s="157">
        <f>10000*10/100+1000*10/100</f>
        <v>1100</v>
      </c>
      <c r="I39" s="106"/>
      <c r="J39" s="149"/>
      <c r="K39" s="106"/>
      <c r="L39" s="149"/>
      <c r="M39" s="106"/>
      <c r="N39" s="149"/>
      <c r="O39" s="94"/>
      <c r="P39" s="140">
        <f>H39</f>
        <v>1100</v>
      </c>
      <c r="Q39" s="35"/>
      <c r="R39" s="11"/>
    </row>
    <row r="40" spans="1:22" ht="16" customHeight="1" thickTop="1" thickBot="1">
      <c r="A40" s="530"/>
      <c r="B40" s="538"/>
      <c r="C40" s="540" t="s">
        <v>133</v>
      </c>
      <c r="D40" s="541"/>
      <c r="E40" s="107"/>
      <c r="F40" s="151"/>
      <c r="G40" s="107"/>
      <c r="H40" s="196">
        <v>1000</v>
      </c>
      <c r="I40" s="108"/>
      <c r="J40" s="170"/>
      <c r="K40" s="107"/>
      <c r="L40" s="170"/>
      <c r="M40" s="107"/>
      <c r="N40" s="151"/>
      <c r="O40" s="95"/>
      <c r="P40" s="141">
        <f>H40</f>
        <v>1000</v>
      </c>
      <c r="Q40" s="35"/>
      <c r="R40" s="11"/>
    </row>
    <row r="41" spans="1:22" ht="16" customHeight="1" thickTop="1" thickBot="1">
      <c r="A41" s="530"/>
      <c r="B41" s="527" t="s">
        <v>134</v>
      </c>
      <c r="C41" s="528"/>
      <c r="D41" s="543"/>
      <c r="E41" s="107"/>
      <c r="F41" s="151"/>
      <c r="G41" s="107"/>
      <c r="H41" s="152"/>
      <c r="I41" s="121" t="s">
        <v>135</v>
      </c>
      <c r="J41" s="157">
        <f>7500*40/100</f>
        <v>3000</v>
      </c>
      <c r="K41" s="108"/>
      <c r="L41" s="171">
        <f>7500*60/100</f>
        <v>4500</v>
      </c>
      <c r="M41" s="107"/>
      <c r="N41" s="152"/>
      <c r="O41" s="96" t="s">
        <v>136</v>
      </c>
      <c r="P41" s="142">
        <f>4000*600/100*125/100*250/1000</f>
        <v>7500</v>
      </c>
      <c r="Q41" s="35"/>
      <c r="R41" s="11"/>
    </row>
    <row r="42" spans="1:22" ht="16" customHeight="1" thickTop="1" thickBot="1">
      <c r="A42" s="530"/>
      <c r="B42" s="527" t="s">
        <v>137</v>
      </c>
      <c r="C42" s="528"/>
      <c r="D42" s="543"/>
      <c r="E42" s="107"/>
      <c r="F42" s="151"/>
      <c r="G42" s="107"/>
      <c r="H42" s="151"/>
      <c r="I42" s="107"/>
      <c r="J42" s="175"/>
      <c r="K42" s="121" t="s">
        <v>138</v>
      </c>
      <c r="L42" s="172">
        <f>1000*30/1000</f>
        <v>30</v>
      </c>
      <c r="M42" s="107"/>
      <c r="N42" s="151"/>
      <c r="O42" s="97"/>
      <c r="P42" s="139">
        <f>L42</f>
        <v>30</v>
      </c>
      <c r="Q42" s="35"/>
      <c r="R42" s="11"/>
    </row>
    <row r="43" spans="1:22" ht="16" customHeight="1" thickTop="1" thickBot="1">
      <c r="A43" s="530"/>
      <c r="B43" s="544" t="s">
        <v>139</v>
      </c>
      <c r="C43" s="545"/>
      <c r="D43" s="546"/>
      <c r="E43" s="108"/>
      <c r="F43" s="153">
        <f>SUM(F33:F42)</f>
        <v>141</v>
      </c>
      <c r="G43" s="107"/>
      <c r="H43" s="173">
        <f>SUM(H33:H42)</f>
        <v>2743</v>
      </c>
      <c r="I43" s="107"/>
      <c r="J43" s="173">
        <f>SUM(J33:J42)</f>
        <v>3000</v>
      </c>
      <c r="K43" s="108"/>
      <c r="L43" s="173">
        <f>SUM(L33:L42)</f>
        <v>4530</v>
      </c>
      <c r="M43" s="107"/>
      <c r="N43" s="153">
        <f>SUM(N33:N42)</f>
        <v>27</v>
      </c>
      <c r="O43" s="98"/>
      <c r="P43" s="143">
        <f>SUM(P33:P42)</f>
        <v>10441</v>
      </c>
      <c r="Q43" s="35"/>
      <c r="R43" s="11"/>
    </row>
    <row r="44" spans="1:22" ht="16" customHeight="1" thickTop="1" thickBot="1">
      <c r="A44" s="530"/>
      <c r="B44" s="527" t="s">
        <v>97</v>
      </c>
      <c r="C44" s="528"/>
      <c r="D44" s="528"/>
      <c r="E44" s="121" t="s">
        <v>140</v>
      </c>
      <c r="F44" s="172">
        <f>ROUND(F43*3/100,0)</f>
        <v>4</v>
      </c>
      <c r="G44" s="107"/>
      <c r="H44" s="509">
        <f>ROUND(H43*3/100,0)</f>
        <v>82</v>
      </c>
      <c r="I44" s="107"/>
      <c r="J44" s="185">
        <f>ROUND(J43*3/100,0)</f>
        <v>90</v>
      </c>
      <c r="K44" s="121" t="s">
        <v>141</v>
      </c>
      <c r="L44" s="172">
        <f>ROUND(L43*3/100,0)</f>
        <v>136</v>
      </c>
      <c r="M44" s="107"/>
      <c r="N44" s="154">
        <f>ROUND(N43*3/100,0)</f>
        <v>1</v>
      </c>
      <c r="O44" s="99"/>
      <c r="P44" s="144">
        <f>F44+H44+J44+L44+N44</f>
        <v>313</v>
      </c>
      <c r="Q44" s="35"/>
      <c r="R44" s="11"/>
    </row>
    <row r="45" spans="1:22" ht="16" customHeight="1" thickTop="1" thickBot="1">
      <c r="A45" s="530"/>
      <c r="B45" s="527" t="s">
        <v>142</v>
      </c>
      <c r="C45" s="528"/>
      <c r="D45" s="543"/>
      <c r="E45" s="107"/>
      <c r="F45" s="151"/>
      <c r="G45" s="107"/>
      <c r="H45" s="197">
        <f>ROUND(F64*4/100,0)</f>
        <v>2</v>
      </c>
      <c r="I45" s="108"/>
      <c r="J45" s="153">
        <f>ROUND(H64*4/100,0)</f>
        <v>100</v>
      </c>
      <c r="K45" s="107"/>
      <c r="L45" s="153">
        <f>ROUND(J64*4/100,0)</f>
        <v>103</v>
      </c>
      <c r="M45" s="108"/>
      <c r="N45" s="155">
        <f>ROUND(L64*4/100,0)</f>
        <v>197</v>
      </c>
      <c r="O45" s="96" t="s">
        <v>143</v>
      </c>
      <c r="P45" s="138">
        <f>H45+J45+L45+N45</f>
        <v>402</v>
      </c>
      <c r="Q45" s="35"/>
      <c r="R45" s="11"/>
    </row>
    <row r="46" spans="1:22" ht="16" customHeight="1" thickTop="1" thickBot="1">
      <c r="A46" s="530"/>
      <c r="B46" s="544" t="s">
        <v>53</v>
      </c>
      <c r="C46" s="545"/>
      <c r="D46" s="546"/>
      <c r="E46" s="107"/>
      <c r="F46" s="197">
        <f>SUM(F43:F45)</f>
        <v>145</v>
      </c>
      <c r="G46" s="107"/>
      <c r="H46" s="198">
        <f>SUM(H43:H45)</f>
        <v>2827</v>
      </c>
      <c r="I46" s="121" t="s">
        <v>144</v>
      </c>
      <c r="J46" s="157">
        <f>SUM(J43:J45)</f>
        <v>3190</v>
      </c>
      <c r="K46" s="107"/>
      <c r="L46" s="174">
        <f>SUM(L43:L45)</f>
        <v>4769</v>
      </c>
      <c r="M46" s="109" t="s">
        <v>145</v>
      </c>
      <c r="N46" s="156">
        <f>SUM(N43:N45)</f>
        <v>225</v>
      </c>
      <c r="O46" s="98"/>
      <c r="P46" s="145">
        <f>F46+H46+J46+L46+N46</f>
        <v>11156</v>
      </c>
      <c r="Q46" s="35"/>
      <c r="R46" s="11"/>
    </row>
    <row r="47" spans="1:22" ht="16" customHeight="1" thickTop="1" thickBot="1">
      <c r="A47" s="530"/>
      <c r="B47" s="527" t="s">
        <v>101</v>
      </c>
      <c r="C47" s="528"/>
      <c r="D47" s="543"/>
      <c r="E47" s="107"/>
      <c r="F47" s="151"/>
      <c r="G47" s="107"/>
      <c r="H47" s="197"/>
      <c r="I47" s="107"/>
      <c r="J47" s="186"/>
      <c r="K47" s="107"/>
      <c r="L47" s="175"/>
      <c r="M47" s="110" t="s">
        <v>146</v>
      </c>
      <c r="N47" s="157">
        <f>L64</f>
        <v>4918</v>
      </c>
      <c r="O47" s="100"/>
      <c r="P47" s="146">
        <f>N47</f>
        <v>4918</v>
      </c>
      <c r="Q47" s="35"/>
      <c r="R47" s="11"/>
      <c r="S47" s="500" t="s">
        <v>226</v>
      </c>
      <c r="T47" s="501"/>
      <c r="U47" s="501"/>
      <c r="V47" s="502"/>
    </row>
    <row r="48" spans="1:22" ht="16" customHeight="1" thickTop="1" thickBot="1">
      <c r="A48" s="531"/>
      <c r="B48" s="547" t="s">
        <v>147</v>
      </c>
      <c r="C48" s="548"/>
      <c r="D48" s="549"/>
      <c r="E48" s="111"/>
      <c r="F48" s="202">
        <f>F46+F47</f>
        <v>145</v>
      </c>
      <c r="G48" s="111"/>
      <c r="H48" s="176">
        <f>H46+H47</f>
        <v>2827</v>
      </c>
      <c r="I48" s="111"/>
      <c r="J48" s="176">
        <f>J46+J47</f>
        <v>3190</v>
      </c>
      <c r="K48" s="111"/>
      <c r="L48" s="176">
        <f>L46+L47</f>
        <v>4769</v>
      </c>
      <c r="M48" s="111"/>
      <c r="N48" s="158">
        <f>N46+N47</f>
        <v>5143</v>
      </c>
      <c r="O48" s="96" t="s">
        <v>148</v>
      </c>
      <c r="P48" s="142">
        <f>F48+H48+J48+L48+N48</f>
        <v>16074</v>
      </c>
      <c r="Q48" s="35"/>
      <c r="R48" s="11"/>
      <c r="S48" s="485" t="s">
        <v>220</v>
      </c>
      <c r="T48" s="496"/>
      <c r="U48" s="486" t="s">
        <v>221</v>
      </c>
      <c r="V48" s="487"/>
    </row>
    <row r="49" spans="1:22" ht="16" customHeight="1" thickTop="1">
      <c r="A49" s="550" t="s">
        <v>54</v>
      </c>
      <c r="B49" s="551" t="s">
        <v>149</v>
      </c>
      <c r="C49" s="552" t="s">
        <v>150</v>
      </c>
      <c r="D49" s="218" t="s">
        <v>86</v>
      </c>
      <c r="E49" s="112"/>
      <c r="F49" s="167">
        <f>ROUND(F33*2/3,0)</f>
        <v>90</v>
      </c>
      <c r="G49" s="112"/>
      <c r="H49" s="159"/>
      <c r="I49" s="112"/>
      <c r="J49" s="159"/>
      <c r="K49" s="112"/>
      <c r="L49" s="159"/>
      <c r="M49" s="112"/>
      <c r="N49" s="159"/>
      <c r="O49" s="94"/>
      <c r="P49" s="147">
        <f>F49</f>
        <v>90</v>
      </c>
      <c r="Q49" s="35"/>
      <c r="R49" s="11"/>
      <c r="S49" s="488"/>
      <c r="T49" s="497"/>
      <c r="U49" s="489" t="s">
        <v>223</v>
      </c>
      <c r="V49" s="490">
        <f>P56</f>
        <v>1001</v>
      </c>
    </row>
    <row r="50" spans="1:22" ht="16" customHeight="1">
      <c r="A50" s="530"/>
      <c r="B50" s="530"/>
      <c r="C50" s="553"/>
      <c r="D50" s="218" t="s">
        <v>90</v>
      </c>
      <c r="E50" s="113"/>
      <c r="F50" s="167">
        <f>ROUND(F34*2/3,0)</f>
        <v>4</v>
      </c>
      <c r="G50" s="113"/>
      <c r="H50" s="177"/>
      <c r="I50" s="113"/>
      <c r="J50" s="177"/>
      <c r="K50" s="113"/>
      <c r="L50" s="177"/>
      <c r="M50" s="113"/>
      <c r="N50" s="159"/>
      <c r="O50" s="94"/>
      <c r="P50" s="136">
        <f>F50</f>
        <v>4</v>
      </c>
      <c r="Q50" s="35"/>
      <c r="R50" s="11"/>
      <c r="S50" s="488"/>
      <c r="T50" s="497"/>
      <c r="U50" s="489" t="s">
        <v>224</v>
      </c>
      <c r="V50" s="490">
        <f>P59</f>
        <v>2030</v>
      </c>
    </row>
    <row r="51" spans="1:22" ht="16" customHeight="1" thickBot="1">
      <c r="A51" s="530"/>
      <c r="B51" s="530"/>
      <c r="C51" s="553"/>
      <c r="D51" s="218" t="s">
        <v>88</v>
      </c>
      <c r="E51" s="113"/>
      <c r="F51" s="167"/>
      <c r="G51" s="113"/>
      <c r="H51" s="167">
        <f>ROUND(H35*2/3,0)</f>
        <v>200</v>
      </c>
      <c r="I51" s="113"/>
      <c r="J51" s="177"/>
      <c r="K51" s="113"/>
      <c r="L51" s="177"/>
      <c r="M51" s="114"/>
      <c r="N51" s="160"/>
      <c r="O51" s="94"/>
      <c r="P51" s="136">
        <f>H51</f>
        <v>200</v>
      </c>
      <c r="Q51" s="35"/>
      <c r="R51" s="11"/>
      <c r="S51" s="491"/>
      <c r="T51" s="498"/>
      <c r="U51" s="484" t="s">
        <v>225</v>
      </c>
      <c r="V51" s="492">
        <f>V52-V49-V50</f>
        <v>8125</v>
      </c>
    </row>
    <row r="52" spans="1:22" ht="16" customHeight="1" thickTop="1" thickBot="1">
      <c r="A52" s="530"/>
      <c r="B52" s="530"/>
      <c r="C52" s="554"/>
      <c r="D52" s="219" t="s">
        <v>91</v>
      </c>
      <c r="E52" s="116"/>
      <c r="F52" s="163"/>
      <c r="G52" s="124"/>
      <c r="H52" s="188">
        <f>ROUND(H36*2/3,0)</f>
        <v>55</v>
      </c>
      <c r="I52" s="116"/>
      <c r="J52" s="187"/>
      <c r="K52" s="116"/>
      <c r="L52" s="178"/>
      <c r="M52" s="115" t="s">
        <v>151</v>
      </c>
      <c r="N52" s="161">
        <f>ROUND(N36*2/3,0)</f>
        <v>18</v>
      </c>
      <c r="O52" s="98"/>
      <c r="P52" s="139">
        <f>H52+N52</f>
        <v>73</v>
      </c>
      <c r="Q52" s="35"/>
      <c r="R52" s="11"/>
      <c r="S52" s="493" t="s">
        <v>222</v>
      </c>
      <c r="T52" s="499">
        <f>P46</f>
        <v>11156</v>
      </c>
      <c r="U52" s="494"/>
      <c r="V52" s="495">
        <f>T52</f>
        <v>11156</v>
      </c>
    </row>
    <row r="53" spans="1:22" ht="16" customHeight="1" thickTop="1" thickBot="1">
      <c r="A53" s="530"/>
      <c r="B53" s="530"/>
      <c r="C53" s="552" t="s">
        <v>152</v>
      </c>
      <c r="D53" s="218" t="s">
        <v>28</v>
      </c>
      <c r="E53" s="113"/>
      <c r="F53" s="162"/>
      <c r="G53" s="125"/>
      <c r="H53" s="180">
        <f>ROUND(H37*2/3,0)</f>
        <v>120</v>
      </c>
      <c r="I53" s="113"/>
      <c r="J53" s="159"/>
      <c r="K53" s="113"/>
      <c r="L53" s="177"/>
      <c r="M53" s="113"/>
      <c r="N53" s="162"/>
      <c r="O53" s="94"/>
      <c r="P53" s="147">
        <f>H53</f>
        <v>120</v>
      </c>
      <c r="Q53" s="35"/>
      <c r="R53" s="11"/>
      <c r="S53" s="488"/>
      <c r="T53" s="489"/>
      <c r="U53" s="489"/>
      <c r="V53" s="503"/>
    </row>
    <row r="54" spans="1:22" ht="16" customHeight="1" thickTop="1" thickBot="1">
      <c r="A54" s="530"/>
      <c r="B54" s="530"/>
      <c r="C54" s="554"/>
      <c r="D54" s="219" t="s">
        <v>39</v>
      </c>
      <c r="E54" s="116"/>
      <c r="F54" s="203"/>
      <c r="G54" s="115" t="s">
        <v>153</v>
      </c>
      <c r="H54" s="161">
        <f>ROUND(21*2/3,0)</f>
        <v>14</v>
      </c>
      <c r="I54" s="114"/>
      <c r="J54" s="160"/>
      <c r="K54" s="116"/>
      <c r="L54" s="179"/>
      <c r="M54" s="116"/>
      <c r="N54" s="163"/>
      <c r="O54" s="95"/>
      <c r="P54" s="137">
        <f>H54</f>
        <v>14</v>
      </c>
      <c r="Q54" s="35"/>
      <c r="R54" s="11"/>
      <c r="S54" s="488"/>
      <c r="T54" s="489"/>
      <c r="U54" s="489" t="s">
        <v>227</v>
      </c>
      <c r="V54" s="505">
        <f>J60</f>
        <v>3000</v>
      </c>
    </row>
    <row r="55" spans="1:22" ht="16" customHeight="1" thickTop="1" thickBot="1">
      <c r="A55" s="530"/>
      <c r="B55" s="530"/>
      <c r="C55" s="534" t="s">
        <v>154</v>
      </c>
      <c r="D55" s="539"/>
      <c r="E55" s="114"/>
      <c r="F55" s="204"/>
      <c r="G55" s="113"/>
      <c r="H55" s="164"/>
      <c r="I55" s="49" t="s">
        <v>155</v>
      </c>
      <c r="J55" s="161">
        <f>ROUND(7500*10/100,0)*2/3*20/100</f>
        <v>100</v>
      </c>
      <c r="K55" s="113"/>
      <c r="L55" s="167">
        <f>ROUND(7500*10/100,0)*2/3*80/100</f>
        <v>400</v>
      </c>
      <c r="M55" s="113"/>
      <c r="N55" s="164"/>
      <c r="O55" s="101" t="s">
        <v>156</v>
      </c>
      <c r="P55" s="138">
        <f>J55+L55</f>
        <v>500</v>
      </c>
      <c r="Q55" s="35"/>
      <c r="R55" s="11"/>
      <c r="S55" s="488"/>
      <c r="T55" s="489"/>
      <c r="U55" s="506" t="s">
        <v>228</v>
      </c>
      <c r="V55" s="507">
        <f>-V54+V51</f>
        <v>5125</v>
      </c>
    </row>
    <row r="56" spans="1:22" ht="16" customHeight="1" thickTop="1" thickBot="1">
      <c r="A56" s="530"/>
      <c r="B56" s="531"/>
      <c r="C56" s="555" t="s">
        <v>157</v>
      </c>
      <c r="D56" s="556"/>
      <c r="E56" s="118" t="s">
        <v>158</v>
      </c>
      <c r="F56" s="161">
        <f>SUM(F49:F55)</f>
        <v>94</v>
      </c>
      <c r="G56" s="116"/>
      <c r="H56" s="163">
        <f>SUM(H49:H55)</f>
        <v>389</v>
      </c>
      <c r="I56" s="116"/>
      <c r="J56" s="188">
        <f>SUM(J49:J55)</f>
        <v>100</v>
      </c>
      <c r="K56" s="114"/>
      <c r="L56" s="180">
        <f>SUM(L49:L55)</f>
        <v>400</v>
      </c>
      <c r="M56" s="116"/>
      <c r="N56" s="165">
        <f>SUM(N49:N55)</f>
        <v>18</v>
      </c>
      <c r="O56" s="96" t="s">
        <v>159</v>
      </c>
      <c r="P56" s="142">
        <f>SUM(P49:P55)</f>
        <v>1001</v>
      </c>
      <c r="Q56" s="35"/>
      <c r="R56" s="11"/>
      <c r="S56" s="493"/>
      <c r="T56" s="494"/>
      <c r="U56" s="494"/>
      <c r="V56" s="508"/>
    </row>
    <row r="57" spans="1:22" ht="16" customHeight="1" thickTop="1" thickBot="1">
      <c r="A57" s="530"/>
      <c r="B57" s="559" t="s">
        <v>178</v>
      </c>
      <c r="C57" s="534" t="s">
        <v>160</v>
      </c>
      <c r="D57" s="539"/>
      <c r="E57" s="113"/>
      <c r="F57" s="167"/>
      <c r="G57" s="113"/>
      <c r="H57" s="167"/>
      <c r="I57" s="113"/>
      <c r="J57" s="189"/>
      <c r="K57" s="115" t="s">
        <v>161</v>
      </c>
      <c r="L57" s="168">
        <f>1000*10000/5000</f>
        <v>2000</v>
      </c>
      <c r="M57" s="113"/>
      <c r="N57" s="166"/>
      <c r="O57" s="94"/>
      <c r="P57" s="140">
        <f>L57</f>
        <v>2000</v>
      </c>
      <c r="Q57" s="35"/>
      <c r="R57" s="11"/>
    </row>
    <row r="58" spans="1:22" ht="16" customHeight="1" thickTop="1" thickBot="1">
      <c r="A58" s="530"/>
      <c r="B58" s="530"/>
      <c r="C58" s="536" t="s">
        <v>162</v>
      </c>
      <c r="D58" s="537"/>
      <c r="E58" s="113"/>
      <c r="F58" s="167"/>
      <c r="G58" s="113"/>
      <c r="H58" s="167"/>
      <c r="I58" s="113"/>
      <c r="J58" s="177"/>
      <c r="K58" s="113"/>
      <c r="L58" s="167">
        <f>1000*30/1000</f>
        <v>30</v>
      </c>
      <c r="M58" s="113"/>
      <c r="N58" s="167"/>
      <c r="O58" s="95"/>
      <c r="P58" s="137">
        <f>L58</f>
        <v>30</v>
      </c>
      <c r="Q58" s="35"/>
      <c r="R58" s="11"/>
    </row>
    <row r="59" spans="1:22" ht="16" customHeight="1" thickTop="1" thickBot="1">
      <c r="A59" s="530"/>
      <c r="B59" s="531"/>
      <c r="C59" s="555" t="s">
        <v>163</v>
      </c>
      <c r="D59" s="556"/>
      <c r="E59" s="116"/>
      <c r="F59" s="188"/>
      <c r="G59" s="116"/>
      <c r="H59" s="188"/>
      <c r="I59" s="116"/>
      <c r="J59" s="179"/>
      <c r="K59" s="116"/>
      <c r="L59" s="181">
        <f>L57+L58</f>
        <v>2030</v>
      </c>
      <c r="M59" s="114"/>
      <c r="N59" s="165"/>
      <c r="O59" s="101" t="s">
        <v>164</v>
      </c>
      <c r="P59" s="142">
        <f>P57+P58</f>
        <v>2030</v>
      </c>
      <c r="Q59" s="35"/>
      <c r="R59" s="11"/>
    </row>
    <row r="60" spans="1:22" ht="16" customHeight="1" thickTop="1" thickBot="1">
      <c r="A60" s="530"/>
      <c r="B60" s="557" t="s">
        <v>112</v>
      </c>
      <c r="C60" s="545"/>
      <c r="D60" s="546"/>
      <c r="E60" s="116"/>
      <c r="F60" s="188"/>
      <c r="G60" s="116"/>
      <c r="H60" s="188"/>
      <c r="I60" s="116"/>
      <c r="J60" s="190">
        <v>3000</v>
      </c>
      <c r="K60" s="114"/>
      <c r="L60" s="182"/>
      <c r="M60" s="115" t="s">
        <v>165</v>
      </c>
      <c r="N60" s="168">
        <f>P46-P56-P59-J60</f>
        <v>5125</v>
      </c>
      <c r="O60" s="99"/>
      <c r="P60" s="141">
        <f>J60+N60</f>
        <v>8125</v>
      </c>
      <c r="Q60" s="48"/>
      <c r="R60" s="11"/>
    </row>
    <row r="61" spans="1:22" ht="16" customHeight="1" thickTop="1" thickBot="1">
      <c r="A61" s="530"/>
      <c r="B61" s="557" t="s">
        <v>73</v>
      </c>
      <c r="C61" s="545"/>
      <c r="D61" s="546"/>
      <c r="E61" s="116"/>
      <c r="F61" s="188">
        <f>F56+F59+F60</f>
        <v>94</v>
      </c>
      <c r="G61" s="114"/>
      <c r="H61" s="180">
        <f>H56+H60+H59</f>
        <v>389</v>
      </c>
      <c r="I61" s="116"/>
      <c r="J61" s="183">
        <f>J56+J60+J59</f>
        <v>3100</v>
      </c>
      <c r="K61" s="118" t="s">
        <v>166</v>
      </c>
      <c r="L61" s="168">
        <f>L56+L59+L60</f>
        <v>2430</v>
      </c>
      <c r="M61" s="116"/>
      <c r="N61" s="169">
        <f>N60+N56</f>
        <v>5143</v>
      </c>
      <c r="O61" s="96" t="s">
        <v>167</v>
      </c>
      <c r="P61" s="142">
        <f>F61+H61+J61+L61+N61</f>
        <v>11156</v>
      </c>
      <c r="Q61" s="35"/>
      <c r="R61" s="11"/>
    </row>
    <row r="62" spans="1:22" ht="16" customHeight="1" thickTop="1" thickBot="1">
      <c r="A62" s="530"/>
      <c r="B62" s="557" t="s">
        <v>168</v>
      </c>
      <c r="C62" s="545"/>
      <c r="D62" s="546"/>
      <c r="E62" s="114"/>
      <c r="F62" s="165">
        <f>F48-F61</f>
        <v>51</v>
      </c>
      <c r="G62" s="118" t="s">
        <v>169</v>
      </c>
      <c r="H62" s="199">
        <f>H48-H61</f>
        <v>2438</v>
      </c>
      <c r="I62" s="116"/>
      <c r="J62" s="191">
        <f>J48-J61</f>
        <v>90</v>
      </c>
      <c r="K62" s="122"/>
      <c r="L62" s="183">
        <f>L48-L61</f>
        <v>2339</v>
      </c>
      <c r="M62" s="117"/>
      <c r="N62" s="368">
        <f>N48-N61</f>
        <v>0</v>
      </c>
      <c r="O62" s="102"/>
      <c r="P62" s="145">
        <f>F62+H62+J62+L62+N62</f>
        <v>4918</v>
      </c>
      <c r="Q62" s="35"/>
      <c r="R62" s="11"/>
    </row>
    <row r="63" spans="1:22" ht="16" customHeight="1" thickTop="1" thickBot="1">
      <c r="A63" s="531"/>
      <c r="B63" s="557" t="s">
        <v>170</v>
      </c>
      <c r="C63" s="545"/>
      <c r="D63" s="545"/>
      <c r="E63" s="118" t="s">
        <v>171</v>
      </c>
      <c r="F63" s="161">
        <f>F61+F62</f>
        <v>145</v>
      </c>
      <c r="G63" s="114"/>
      <c r="H63" s="200">
        <f>H61+H62</f>
        <v>2827</v>
      </c>
      <c r="I63" s="122"/>
      <c r="J63" s="192">
        <f>J61+J62</f>
        <v>3190</v>
      </c>
      <c r="K63" s="116"/>
      <c r="L63" s="184">
        <f>L61+L62</f>
        <v>4769</v>
      </c>
      <c r="M63" s="118" t="s">
        <v>172</v>
      </c>
      <c r="N63" s="168">
        <f>N61+N62</f>
        <v>5143</v>
      </c>
      <c r="O63" s="98"/>
      <c r="P63" s="145">
        <f>F63+H63+J63+L63+N63</f>
        <v>16074</v>
      </c>
      <c r="Q63" s="35"/>
      <c r="R63" s="11"/>
    </row>
    <row r="64" spans="1:22" ht="16" customHeight="1" thickTop="1" thickBot="1">
      <c r="A64" s="558" t="s">
        <v>114</v>
      </c>
      <c r="B64" s="545"/>
      <c r="C64" s="545"/>
      <c r="D64" s="546"/>
      <c r="E64" s="116"/>
      <c r="F64" s="203">
        <f>F62</f>
        <v>51</v>
      </c>
      <c r="G64" s="118" t="s">
        <v>173</v>
      </c>
      <c r="H64" s="168">
        <f>F64+H62</f>
        <v>2489</v>
      </c>
      <c r="I64" s="116"/>
      <c r="J64" s="193">
        <f>H64+J62</f>
        <v>2579</v>
      </c>
      <c r="K64" s="116"/>
      <c r="L64" s="181">
        <f>J64+L62</f>
        <v>4918</v>
      </c>
      <c r="M64" s="116"/>
      <c r="N64" s="190">
        <f>L64-N47</f>
        <v>0</v>
      </c>
      <c r="O64" s="97"/>
      <c r="P64" s="139" t="s">
        <v>174</v>
      </c>
      <c r="Q64" s="35"/>
      <c r="R64" s="11"/>
    </row>
    <row r="65" spans="1:18" ht="16" customHeight="1" thickTop="1">
      <c r="A65" s="35"/>
      <c r="B65" s="35"/>
      <c r="C65" s="35"/>
      <c r="D65" s="217"/>
      <c r="E65" s="92"/>
      <c r="F65" s="35"/>
      <c r="G65" s="92"/>
      <c r="H65" s="35"/>
      <c r="I65" s="92"/>
      <c r="J65" s="35"/>
      <c r="K65" s="92"/>
      <c r="L65" s="35"/>
      <c r="M65" s="92"/>
      <c r="N65" s="35"/>
      <c r="O65" s="92"/>
      <c r="P65" s="35"/>
      <c r="Q65" s="35"/>
      <c r="R65" s="11"/>
    </row>
    <row r="66" spans="1:18" ht="16" customHeight="1">
      <c r="A66" s="50"/>
      <c r="B66" s="50"/>
      <c r="C66" s="50"/>
      <c r="E66" s="119"/>
      <c r="F66" s="36" t="s">
        <v>77</v>
      </c>
      <c r="G66" s="119"/>
      <c r="H66" s="50"/>
      <c r="I66" s="119"/>
      <c r="J66" s="50"/>
      <c r="K66" s="119"/>
      <c r="L66" s="50"/>
      <c r="M66" s="119"/>
      <c r="N66" s="50"/>
      <c r="O66" s="51"/>
      <c r="P66" s="50"/>
      <c r="Q66" s="50"/>
      <c r="R66" s="11"/>
    </row>
    <row r="67" spans="1:18" ht="16" customHeight="1">
      <c r="A67" s="50"/>
      <c r="B67" s="50"/>
      <c r="C67" s="50"/>
      <c r="E67" s="119"/>
      <c r="F67" s="37" t="s">
        <v>78</v>
      </c>
      <c r="G67" s="119"/>
      <c r="H67" s="50"/>
      <c r="I67" s="119"/>
      <c r="J67" s="50"/>
      <c r="K67" s="119"/>
      <c r="L67" s="50"/>
      <c r="M67" s="119"/>
      <c r="N67" s="50"/>
      <c r="O67" s="51"/>
      <c r="P67" s="50"/>
      <c r="Q67" s="50"/>
      <c r="R67" s="11"/>
    </row>
    <row r="68" spans="1:18" ht="16" customHeight="1">
      <c r="A68" s="50"/>
      <c r="B68" s="50"/>
      <c r="C68" s="50"/>
      <c r="E68" s="126" t="s">
        <v>79</v>
      </c>
      <c r="F68" s="91" t="s">
        <v>102</v>
      </c>
      <c r="G68" s="123" t="s">
        <v>79</v>
      </c>
      <c r="H68" s="53" t="s">
        <v>103</v>
      </c>
      <c r="I68" s="120" t="s">
        <v>79</v>
      </c>
      <c r="J68" s="52" t="s">
        <v>104</v>
      </c>
      <c r="K68" s="123" t="s">
        <v>79</v>
      </c>
      <c r="L68" s="53" t="s">
        <v>105</v>
      </c>
      <c r="M68" s="120" t="s">
        <v>79</v>
      </c>
      <c r="N68" s="52" t="s">
        <v>106</v>
      </c>
      <c r="O68" s="51"/>
      <c r="P68" s="50"/>
      <c r="Q68" s="50"/>
      <c r="R68" s="11"/>
    </row>
    <row r="69" spans="1:18" ht="16" customHeight="1">
      <c r="A69" s="50"/>
      <c r="B69" s="50"/>
      <c r="C69" s="50"/>
      <c r="E69" s="58">
        <v>1</v>
      </c>
      <c r="F69" s="127" t="s">
        <v>86</v>
      </c>
      <c r="G69" s="56">
        <v>1</v>
      </c>
      <c r="H69" s="129" t="s">
        <v>88</v>
      </c>
      <c r="I69" s="55">
        <v>1</v>
      </c>
      <c r="J69" s="127" t="s">
        <v>108</v>
      </c>
      <c r="K69" s="56">
        <v>1</v>
      </c>
      <c r="L69" s="129" t="s">
        <v>108</v>
      </c>
      <c r="M69" s="55">
        <v>1</v>
      </c>
      <c r="N69" s="127" t="s">
        <v>89</v>
      </c>
      <c r="O69" s="51"/>
      <c r="P69" s="50"/>
      <c r="Q69" s="50"/>
      <c r="R69" s="11"/>
    </row>
    <row r="70" spans="1:18" s="69" customFormat="1" ht="16" customHeight="1">
      <c r="D70" s="220"/>
      <c r="E70" s="75"/>
      <c r="F70" s="73">
        <f>F49</f>
        <v>90</v>
      </c>
      <c r="G70" s="90"/>
      <c r="H70" s="84">
        <f>H51</f>
        <v>200</v>
      </c>
      <c r="I70" s="72"/>
      <c r="J70" s="73">
        <f>J55</f>
        <v>100</v>
      </c>
      <c r="K70" s="90"/>
      <c r="L70" s="84">
        <f>L55</f>
        <v>400</v>
      </c>
      <c r="M70" s="72"/>
      <c r="N70" s="73">
        <f>N52</f>
        <v>18</v>
      </c>
      <c r="O70" s="74"/>
      <c r="R70" s="11"/>
    </row>
    <row r="71" spans="1:18" ht="16" customHeight="1">
      <c r="A71" s="50"/>
      <c r="B71" s="50"/>
      <c r="C71" s="50"/>
      <c r="E71" s="58">
        <v>2</v>
      </c>
      <c r="F71" s="128" t="s">
        <v>90</v>
      </c>
      <c r="G71" s="60">
        <v>2</v>
      </c>
      <c r="H71" s="128" t="s">
        <v>89</v>
      </c>
      <c r="I71" s="61">
        <v>2</v>
      </c>
      <c r="J71" s="132" t="s">
        <v>112</v>
      </c>
      <c r="K71" s="62">
        <v>2</v>
      </c>
      <c r="L71" s="133" t="s">
        <v>160</v>
      </c>
      <c r="M71" s="59">
        <v>2</v>
      </c>
      <c r="N71" s="128" t="s">
        <v>112</v>
      </c>
      <c r="O71" s="51"/>
      <c r="P71" s="50"/>
      <c r="Q71" s="50"/>
      <c r="R71" s="11"/>
    </row>
    <row r="72" spans="1:18" s="69" customFormat="1" ht="16" customHeight="1">
      <c r="D72" s="220"/>
      <c r="E72" s="75"/>
      <c r="F72" s="73">
        <f>F50</f>
        <v>4</v>
      </c>
      <c r="G72" s="86"/>
      <c r="H72" s="77">
        <f>H52</f>
        <v>55</v>
      </c>
      <c r="I72" s="87"/>
      <c r="J72" s="79">
        <f>J60</f>
        <v>3000</v>
      </c>
      <c r="K72" s="88"/>
      <c r="L72" s="89">
        <f>L57</f>
        <v>2000</v>
      </c>
      <c r="M72" s="72"/>
      <c r="N72" s="73">
        <f>N60</f>
        <v>5125</v>
      </c>
      <c r="O72" s="74"/>
      <c r="R72" s="11"/>
    </row>
    <row r="73" spans="1:18" ht="16" customHeight="1">
      <c r="A73" s="50"/>
      <c r="B73" s="50"/>
      <c r="C73" s="50"/>
      <c r="E73" s="55">
        <v>3</v>
      </c>
      <c r="F73" s="129" t="s">
        <v>73</v>
      </c>
      <c r="G73" s="55">
        <v>3</v>
      </c>
      <c r="H73" s="127" t="s">
        <v>28</v>
      </c>
      <c r="I73" s="55">
        <v>3</v>
      </c>
      <c r="J73" s="131" t="s">
        <v>73</v>
      </c>
      <c r="K73" s="55">
        <v>3</v>
      </c>
      <c r="L73" s="127" t="s">
        <v>162</v>
      </c>
      <c r="M73" s="55">
        <v>3</v>
      </c>
      <c r="N73" s="127" t="s">
        <v>73</v>
      </c>
      <c r="O73" s="51"/>
      <c r="P73" s="50"/>
      <c r="Q73" s="50"/>
      <c r="R73" s="11"/>
    </row>
    <row r="74" spans="1:18" s="69" customFormat="1" ht="16" customHeight="1">
      <c r="D74" s="220"/>
      <c r="E74" s="72"/>
      <c r="F74" s="84">
        <f>F61</f>
        <v>94</v>
      </c>
      <c r="G74" s="72"/>
      <c r="H74" s="73">
        <f>H53</f>
        <v>120</v>
      </c>
      <c r="I74" s="72"/>
      <c r="J74" s="85">
        <f>J61</f>
        <v>3100</v>
      </c>
      <c r="K74" s="72"/>
      <c r="L74" s="73">
        <f>L58</f>
        <v>30</v>
      </c>
      <c r="M74" s="72"/>
      <c r="N74" s="73">
        <f>N61</f>
        <v>5143</v>
      </c>
      <c r="O74" s="74"/>
      <c r="R74" s="11"/>
    </row>
    <row r="75" spans="1:18" ht="16" customHeight="1">
      <c r="A75" s="50"/>
      <c r="B75" s="50"/>
      <c r="C75" s="50"/>
      <c r="E75" s="55">
        <v>4</v>
      </c>
      <c r="F75" s="129" t="s">
        <v>168</v>
      </c>
      <c r="G75" s="59">
        <v>4</v>
      </c>
      <c r="H75" s="128" t="s">
        <v>39</v>
      </c>
      <c r="I75" s="59">
        <v>4</v>
      </c>
      <c r="J75" s="131" t="s">
        <v>168</v>
      </c>
      <c r="K75" s="55">
        <v>4</v>
      </c>
      <c r="L75" s="127" t="s">
        <v>73</v>
      </c>
      <c r="M75" s="63">
        <v>4</v>
      </c>
      <c r="N75" s="135" t="s">
        <v>168</v>
      </c>
      <c r="O75" s="51"/>
      <c r="P75" s="50"/>
      <c r="Q75" s="50"/>
      <c r="R75" s="11"/>
    </row>
    <row r="76" spans="1:18" s="69" customFormat="1" ht="16" customHeight="1">
      <c r="D76" s="220"/>
      <c r="E76" s="72"/>
      <c r="F76" s="81">
        <f>F62</f>
        <v>51</v>
      </c>
      <c r="G76" s="76"/>
      <c r="H76" s="77">
        <f>H54</f>
        <v>14</v>
      </c>
      <c r="I76" s="76"/>
      <c r="J76" s="82">
        <f>J62</f>
        <v>90</v>
      </c>
      <c r="K76" s="72"/>
      <c r="L76" s="77">
        <f>L61</f>
        <v>2430</v>
      </c>
      <c r="M76" s="80"/>
      <c r="N76" s="83">
        <f>N62</f>
        <v>0</v>
      </c>
      <c r="O76" s="74"/>
      <c r="R76" s="11"/>
    </row>
    <row r="77" spans="1:18" ht="16" customHeight="1">
      <c r="A77" s="50"/>
      <c r="B77" s="50"/>
      <c r="C77" s="50"/>
      <c r="E77" s="55">
        <v>5</v>
      </c>
      <c r="F77" s="129" t="s">
        <v>170</v>
      </c>
      <c r="G77" s="55">
        <v>5</v>
      </c>
      <c r="H77" s="127" t="s">
        <v>73</v>
      </c>
      <c r="I77" s="55">
        <v>5</v>
      </c>
      <c r="J77" s="131" t="s">
        <v>170</v>
      </c>
      <c r="K77" s="55">
        <v>5</v>
      </c>
      <c r="L77" s="131" t="s">
        <v>168</v>
      </c>
      <c r="M77" s="55">
        <v>5</v>
      </c>
      <c r="N77" s="130" t="s">
        <v>170</v>
      </c>
      <c r="O77" s="51"/>
      <c r="P77" s="50"/>
      <c r="Q77" s="50"/>
      <c r="R77" s="11"/>
    </row>
    <row r="78" spans="1:18" s="69" customFormat="1" ht="16" customHeight="1">
      <c r="D78" s="220"/>
      <c r="E78" s="76"/>
      <c r="F78" s="77">
        <f>F63</f>
        <v>145</v>
      </c>
      <c r="G78" s="72"/>
      <c r="H78" s="73">
        <f>H61</f>
        <v>389</v>
      </c>
      <c r="I78" s="72"/>
      <c r="J78" s="77">
        <f>J63</f>
        <v>3190</v>
      </c>
      <c r="K78" s="76"/>
      <c r="L78" s="77">
        <f>L62</f>
        <v>2339</v>
      </c>
      <c r="M78" s="80"/>
      <c r="N78" s="77">
        <f>N63</f>
        <v>5143</v>
      </c>
      <c r="O78" s="74"/>
      <c r="R78" s="11"/>
    </row>
    <row r="79" spans="1:18" ht="16" customHeight="1">
      <c r="A79" s="50"/>
      <c r="B79" s="50"/>
      <c r="C79" s="50"/>
      <c r="E79" s="54">
        <v>6</v>
      </c>
      <c r="F79" s="127" t="s">
        <v>114</v>
      </c>
      <c r="G79" s="55">
        <v>6</v>
      </c>
      <c r="H79" s="131" t="s">
        <v>168</v>
      </c>
      <c r="I79" s="55">
        <v>6</v>
      </c>
      <c r="J79" s="127" t="s">
        <v>114</v>
      </c>
      <c r="K79" s="55">
        <v>6</v>
      </c>
      <c r="L79" s="131" t="s">
        <v>170</v>
      </c>
      <c r="M79" s="65">
        <v>6</v>
      </c>
      <c r="N79" s="134" t="s">
        <v>114</v>
      </c>
      <c r="O79" s="51"/>
      <c r="P79" s="50"/>
      <c r="Q79" s="50"/>
      <c r="R79" s="11"/>
    </row>
    <row r="80" spans="1:18" s="69" customFormat="1" ht="16" customHeight="1">
      <c r="D80" s="220"/>
      <c r="E80" s="75"/>
      <c r="F80" s="73">
        <f>F64</f>
        <v>51</v>
      </c>
      <c r="G80" s="76"/>
      <c r="H80" s="77">
        <f>H62</f>
        <v>2438</v>
      </c>
      <c r="I80" s="72"/>
      <c r="J80" s="73">
        <f>J64</f>
        <v>2579</v>
      </c>
      <c r="K80" s="76"/>
      <c r="L80" s="77">
        <f>L63</f>
        <v>4769</v>
      </c>
      <c r="M80" s="78"/>
      <c r="N80" s="79">
        <f>N64</f>
        <v>0</v>
      </c>
      <c r="O80" s="74"/>
      <c r="R80" s="11"/>
    </row>
    <row r="81" spans="1:18" ht="16" customHeight="1">
      <c r="A81" s="50"/>
      <c r="B81" s="50"/>
      <c r="C81" s="50"/>
      <c r="E81" s="66"/>
      <c r="F81" s="66"/>
      <c r="G81" s="55">
        <v>7</v>
      </c>
      <c r="H81" s="131" t="s">
        <v>170</v>
      </c>
      <c r="I81" s="67"/>
      <c r="J81" s="67"/>
      <c r="K81" s="55">
        <v>7</v>
      </c>
      <c r="L81" s="127" t="s">
        <v>114</v>
      </c>
      <c r="M81" s="67"/>
      <c r="N81" s="67"/>
      <c r="O81" s="51"/>
      <c r="P81" s="50"/>
      <c r="Q81" s="50"/>
      <c r="R81" s="11"/>
    </row>
    <row r="82" spans="1:18" s="69" customFormat="1" ht="16" customHeight="1">
      <c r="D82" s="220"/>
      <c r="E82" s="70"/>
      <c r="F82" s="71"/>
      <c r="G82" s="72"/>
      <c r="H82" s="73">
        <f>H63</f>
        <v>2827</v>
      </c>
      <c r="I82" s="71"/>
      <c r="J82" s="71"/>
      <c r="K82" s="72"/>
      <c r="L82" s="73">
        <f>L64</f>
        <v>4918</v>
      </c>
      <c r="M82" s="71"/>
      <c r="N82" s="71"/>
      <c r="O82" s="74"/>
      <c r="R82" s="11"/>
    </row>
    <row r="83" spans="1:18" ht="16" customHeight="1">
      <c r="A83" s="50"/>
      <c r="B83" s="50"/>
      <c r="C83" s="50"/>
      <c r="E83" s="68"/>
      <c r="F83" s="67"/>
      <c r="G83" s="55">
        <v>8</v>
      </c>
      <c r="H83" s="127" t="s">
        <v>114</v>
      </c>
      <c r="I83" s="67"/>
      <c r="J83" s="67"/>
      <c r="K83" s="67"/>
      <c r="L83" s="67"/>
      <c r="M83" s="67"/>
      <c r="N83" s="67"/>
      <c r="O83" s="51"/>
      <c r="P83" s="50"/>
      <c r="Q83" s="50"/>
      <c r="R83" s="11"/>
    </row>
    <row r="84" spans="1:18" s="69" customFormat="1" ht="16" customHeight="1">
      <c r="D84" s="220"/>
      <c r="E84" s="70"/>
      <c r="F84" s="71"/>
      <c r="G84" s="72"/>
      <c r="H84" s="73">
        <f>H64</f>
        <v>2489</v>
      </c>
      <c r="I84" s="71"/>
      <c r="J84" s="71"/>
      <c r="K84" s="71"/>
      <c r="L84" s="71"/>
      <c r="M84" s="71"/>
      <c r="N84" s="71"/>
      <c r="O84" s="74"/>
      <c r="R84" s="11"/>
    </row>
    <row r="85" spans="1:18" ht="16" customHeight="1">
      <c r="A85" s="11"/>
      <c r="B85" s="11"/>
      <c r="C85" s="11"/>
      <c r="E85" s="31"/>
      <c r="F85" s="33"/>
      <c r="G85" s="33"/>
      <c r="H85" s="33"/>
      <c r="I85" s="33"/>
      <c r="J85" s="33"/>
      <c r="K85" s="33"/>
      <c r="L85" s="33"/>
      <c r="M85" s="33"/>
      <c r="N85" s="33"/>
      <c r="O85" s="32"/>
      <c r="P85" s="11"/>
      <c r="Q85" s="11"/>
      <c r="R85" s="11"/>
    </row>
    <row r="86" spans="1:18" ht="16" customHeight="1"/>
  </sheetData>
  <mergeCells count="44">
    <mergeCell ref="A64:D64"/>
    <mergeCell ref="B57:B59"/>
    <mergeCell ref="C57:D57"/>
    <mergeCell ref="C58:D58"/>
    <mergeCell ref="C59:D59"/>
    <mergeCell ref="B60:D60"/>
    <mergeCell ref="B61:D61"/>
    <mergeCell ref="B45:D45"/>
    <mergeCell ref="B46:D46"/>
    <mergeCell ref="B47:D47"/>
    <mergeCell ref="B48:D48"/>
    <mergeCell ref="A49:A63"/>
    <mergeCell ref="B49:B56"/>
    <mergeCell ref="C49:C52"/>
    <mergeCell ref="C53:C54"/>
    <mergeCell ref="C55:D55"/>
    <mergeCell ref="C56:D56"/>
    <mergeCell ref="B62:D62"/>
    <mergeCell ref="B63:D63"/>
    <mergeCell ref="B44:D44"/>
    <mergeCell ref="A33:A48"/>
    <mergeCell ref="B33:B36"/>
    <mergeCell ref="C33:D33"/>
    <mergeCell ref="C34:D34"/>
    <mergeCell ref="C35:D35"/>
    <mergeCell ref="C36:D36"/>
    <mergeCell ref="B37:B38"/>
    <mergeCell ref="C37:D37"/>
    <mergeCell ref="C38:D38"/>
    <mergeCell ref="B39:B40"/>
    <mergeCell ref="C39:D39"/>
    <mergeCell ref="C40:D40"/>
    <mergeCell ref="B41:D41"/>
    <mergeCell ref="B42:D42"/>
    <mergeCell ref="B43:D43"/>
    <mergeCell ref="A2:F2"/>
    <mergeCell ref="A30:P30"/>
    <mergeCell ref="A31:D32"/>
    <mergeCell ref="E31:F32"/>
    <mergeCell ref="G31:H32"/>
    <mergeCell ref="I31:J32"/>
    <mergeCell ref="K31:L32"/>
    <mergeCell ref="M31:N32"/>
    <mergeCell ref="O31:P32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852DF-8A04-459B-AB04-3E70BCF11117}">
  <dimension ref="A1:Y100"/>
  <sheetViews>
    <sheetView zoomScale="110" workbookViewId="0">
      <selection activeCell="V37" sqref="V37"/>
    </sheetView>
  </sheetViews>
  <sheetFormatPr baseColWidth="10" defaultColWidth="8.83203125" defaultRowHeight="18"/>
  <cols>
    <col min="1" max="3" width="2.6640625" customWidth="1"/>
    <col min="4" max="4" width="21.6640625" customWidth="1"/>
    <col min="5" max="5" width="29.6640625" customWidth="1"/>
    <col min="6" max="6" width="4.6640625" style="50" customWidth="1"/>
    <col min="7" max="7" width="14.6640625" customWidth="1"/>
    <col min="8" max="8" width="4.6640625" style="50" customWidth="1"/>
    <col min="9" max="9" width="14.6640625" customWidth="1"/>
    <col min="10" max="10" width="4.6640625" style="50" customWidth="1"/>
    <col min="11" max="11" width="14.6640625" customWidth="1"/>
    <col min="12" max="12" width="4.6640625" style="50" customWidth="1"/>
    <col min="13" max="13" width="14.6640625" customWidth="1"/>
    <col min="14" max="14" width="4.6640625" style="50" customWidth="1"/>
    <col min="15" max="15" width="14.6640625" customWidth="1"/>
    <col min="16" max="16" width="4.6640625" style="50" customWidth="1"/>
    <col min="17" max="17" width="14.6640625" customWidth="1"/>
    <col min="18" max="18" width="4.6640625" style="50" customWidth="1"/>
    <col min="19" max="19" width="14.6640625" customWidth="1"/>
    <col min="24" max="24" width="11.6640625" customWidth="1"/>
  </cols>
  <sheetData>
    <row r="1" spans="1:21" ht="16" customHeight="1">
      <c r="A1" s="560" t="s">
        <v>0</v>
      </c>
      <c r="B1" s="561"/>
      <c r="C1" s="561"/>
      <c r="D1" s="561"/>
      <c r="E1" s="561"/>
      <c r="F1" s="35"/>
      <c r="G1" s="216"/>
      <c r="H1" s="35"/>
      <c r="I1" s="216"/>
      <c r="J1" s="35"/>
      <c r="K1" s="216"/>
      <c r="L1" s="35"/>
      <c r="M1" s="216"/>
      <c r="N1" s="35"/>
      <c r="O1" s="216"/>
      <c r="P1" s="35"/>
      <c r="Q1" s="216"/>
      <c r="R1" s="35"/>
      <c r="S1" s="216"/>
      <c r="T1" s="216"/>
      <c r="U1" s="69"/>
    </row>
    <row r="2" spans="1:21" ht="16" customHeight="1">
      <c r="A2" s="216"/>
      <c r="B2" s="216"/>
      <c r="C2" s="216"/>
      <c r="D2" s="216"/>
      <c r="E2" s="216"/>
      <c r="F2" s="35"/>
      <c r="G2" s="216"/>
      <c r="H2" s="221"/>
      <c r="I2" s="222" t="s">
        <v>77</v>
      </c>
      <c r="J2" s="35"/>
      <c r="K2" s="216"/>
      <c r="L2" s="35"/>
      <c r="M2" s="217"/>
      <c r="N2" s="35"/>
      <c r="O2" s="35"/>
      <c r="P2" s="35"/>
      <c r="Q2" s="223"/>
      <c r="R2" s="35"/>
      <c r="S2" s="216"/>
      <c r="T2" s="216"/>
      <c r="U2" s="69"/>
    </row>
    <row r="3" spans="1:21" ht="16" customHeight="1">
      <c r="A3" s="216"/>
      <c r="B3" s="216"/>
      <c r="C3" s="216"/>
      <c r="D3" s="216"/>
      <c r="E3" s="216"/>
      <c r="F3" s="35"/>
      <c r="G3" s="216"/>
      <c r="H3" s="221"/>
      <c r="I3" s="224" t="s">
        <v>78</v>
      </c>
      <c r="J3" s="35"/>
      <c r="K3" s="216"/>
      <c r="L3" s="35"/>
      <c r="M3" s="217"/>
      <c r="N3" s="35"/>
      <c r="O3" s="35"/>
      <c r="P3" s="35"/>
      <c r="Q3" s="223"/>
      <c r="R3" s="35"/>
      <c r="S3" s="216"/>
      <c r="T3" s="216"/>
      <c r="U3" s="69"/>
    </row>
    <row r="4" spans="1:21" ht="16" customHeight="1">
      <c r="A4" s="216"/>
      <c r="B4" s="216"/>
      <c r="C4" s="216"/>
      <c r="D4" s="216"/>
      <c r="E4" s="216"/>
      <c r="F4" s="35"/>
      <c r="G4" s="216"/>
      <c r="H4" s="225" t="s">
        <v>79</v>
      </c>
      <c r="I4" s="226" t="s">
        <v>80</v>
      </c>
      <c r="J4" s="225" t="s">
        <v>79</v>
      </c>
      <c r="K4" s="226" t="s">
        <v>81</v>
      </c>
      <c r="L4" s="225" t="s">
        <v>79</v>
      </c>
      <c r="M4" s="226" t="s">
        <v>82</v>
      </c>
      <c r="N4" s="225" t="s">
        <v>79</v>
      </c>
      <c r="O4" s="226" t="s">
        <v>83</v>
      </c>
      <c r="P4" s="225" t="s">
        <v>79</v>
      </c>
      <c r="Q4" s="226" t="s">
        <v>84</v>
      </c>
      <c r="R4" s="225" t="s">
        <v>79</v>
      </c>
      <c r="S4" s="226" t="s">
        <v>85</v>
      </c>
      <c r="T4" s="216"/>
      <c r="U4" s="69"/>
    </row>
    <row r="5" spans="1:21" ht="16" customHeight="1">
      <c r="A5" s="216"/>
      <c r="B5" s="216"/>
      <c r="C5" s="216"/>
      <c r="D5" s="216"/>
      <c r="E5" s="216"/>
      <c r="F5" s="35"/>
      <c r="G5" s="216"/>
      <c r="H5" s="227">
        <v>1</v>
      </c>
      <c r="I5" s="228" t="s">
        <v>86</v>
      </c>
      <c r="J5" s="227">
        <v>1</v>
      </c>
      <c r="K5" s="228" t="s">
        <v>87</v>
      </c>
      <c r="L5" s="229">
        <v>1</v>
      </c>
      <c r="M5" s="230" t="s">
        <v>88</v>
      </c>
      <c r="N5" s="229">
        <v>1</v>
      </c>
      <c r="O5" s="230" t="s">
        <v>88</v>
      </c>
      <c r="P5" s="229">
        <v>1</v>
      </c>
      <c r="Q5" s="230" t="s">
        <v>88</v>
      </c>
      <c r="R5" s="227">
        <v>1</v>
      </c>
      <c r="S5" s="231" t="s">
        <v>89</v>
      </c>
      <c r="T5" s="216"/>
      <c r="U5" s="69"/>
    </row>
    <row r="6" spans="1:21" ht="16" customHeight="1">
      <c r="A6" s="216"/>
      <c r="B6" s="216"/>
      <c r="C6" s="216"/>
      <c r="D6" s="216"/>
      <c r="E6" s="216"/>
      <c r="F6" s="35"/>
      <c r="G6" s="216"/>
      <c r="H6" s="227"/>
      <c r="I6" s="232">
        <f>I32</f>
        <v>144</v>
      </c>
      <c r="J6" s="227"/>
      <c r="K6" s="232">
        <f>K34</f>
        <v>324</v>
      </c>
      <c r="L6" s="229"/>
      <c r="M6" s="233">
        <f>M34</f>
        <v>24</v>
      </c>
      <c r="N6" s="229"/>
      <c r="O6" s="233">
        <f>O34</f>
        <v>24</v>
      </c>
      <c r="P6" s="229"/>
      <c r="Q6" s="233">
        <f>Q34</f>
        <v>24</v>
      </c>
      <c r="R6" s="227"/>
      <c r="S6" s="234">
        <f>S35</f>
        <v>20</v>
      </c>
      <c r="T6" s="216"/>
      <c r="U6" s="69"/>
    </row>
    <row r="7" spans="1:21" ht="16" customHeight="1">
      <c r="A7" s="216"/>
      <c r="B7" s="216"/>
      <c r="C7" s="216"/>
      <c r="D7" s="216"/>
      <c r="E7" s="216"/>
      <c r="F7" s="35"/>
      <c r="G7" s="216"/>
      <c r="H7" s="235">
        <v>2</v>
      </c>
      <c r="I7" s="236" t="s">
        <v>90</v>
      </c>
      <c r="J7" s="237">
        <v>2</v>
      </c>
      <c r="K7" s="238" t="s">
        <v>91</v>
      </c>
      <c r="L7" s="239">
        <v>2</v>
      </c>
      <c r="M7" s="240" t="s">
        <v>92</v>
      </c>
      <c r="N7" s="239">
        <v>2</v>
      </c>
      <c r="O7" s="240" t="s">
        <v>92</v>
      </c>
      <c r="P7" s="239">
        <v>2</v>
      </c>
      <c r="Q7" s="240" t="s">
        <v>92</v>
      </c>
      <c r="R7" s="239">
        <v>2</v>
      </c>
      <c r="S7" s="231" t="s">
        <v>92</v>
      </c>
      <c r="T7" s="216"/>
      <c r="U7" s="69"/>
    </row>
    <row r="8" spans="1:21" ht="16" customHeight="1">
      <c r="A8" s="216"/>
      <c r="B8" s="216"/>
      <c r="C8" s="216"/>
      <c r="D8" s="216"/>
      <c r="E8" s="216"/>
      <c r="F8" s="35"/>
      <c r="G8" s="216"/>
      <c r="H8" s="241"/>
      <c r="I8" s="242">
        <f>I33</f>
        <v>7</v>
      </c>
      <c r="J8" s="243"/>
      <c r="K8" s="244">
        <f>K35</f>
        <v>55</v>
      </c>
      <c r="L8" s="243"/>
      <c r="M8" s="245">
        <f>M36</f>
        <v>20</v>
      </c>
      <c r="N8" s="243"/>
      <c r="O8" s="245">
        <f>O36</f>
        <v>20</v>
      </c>
      <c r="P8" s="241"/>
      <c r="Q8" s="245">
        <f>Q36</f>
        <v>20</v>
      </c>
      <c r="R8" s="241"/>
      <c r="S8" s="246">
        <f>S36</f>
        <v>20</v>
      </c>
      <c r="T8" s="216"/>
      <c r="U8" s="69"/>
    </row>
    <row r="9" spans="1:21" ht="16" customHeight="1">
      <c r="A9" s="216"/>
      <c r="B9" s="216"/>
      <c r="C9" s="216"/>
      <c r="D9" s="216"/>
      <c r="E9" s="216"/>
      <c r="F9" s="35"/>
      <c r="G9" s="216"/>
      <c r="H9" s="227">
        <v>3</v>
      </c>
      <c r="I9" s="228" t="s">
        <v>92</v>
      </c>
      <c r="J9" s="227">
        <v>3</v>
      </c>
      <c r="K9" s="228" t="s">
        <v>92</v>
      </c>
      <c r="L9" s="229">
        <v>3</v>
      </c>
      <c r="M9" s="247" t="s">
        <v>28</v>
      </c>
      <c r="N9" s="227">
        <v>3</v>
      </c>
      <c r="O9" s="248" t="s">
        <v>93</v>
      </c>
      <c r="P9" s="229">
        <v>3</v>
      </c>
      <c r="Q9" s="249" t="s">
        <v>93</v>
      </c>
      <c r="R9" s="229">
        <v>3</v>
      </c>
      <c r="S9" s="250" t="s">
        <v>94</v>
      </c>
      <c r="T9" s="216"/>
      <c r="U9" s="69"/>
    </row>
    <row r="10" spans="1:21" ht="16" customHeight="1">
      <c r="A10" s="216"/>
      <c r="B10" s="216"/>
      <c r="C10" s="216"/>
      <c r="D10" s="216"/>
      <c r="E10" s="216"/>
      <c r="F10" s="35"/>
      <c r="G10" s="216"/>
      <c r="H10" s="251"/>
      <c r="I10" s="232">
        <f>I36</f>
        <v>20</v>
      </c>
      <c r="J10" s="251"/>
      <c r="K10" s="232">
        <f>K36</f>
        <v>20</v>
      </c>
      <c r="L10" s="229"/>
      <c r="M10" s="233">
        <f>M37</f>
        <v>90</v>
      </c>
      <c r="N10" s="229"/>
      <c r="O10" s="232">
        <f>O40</f>
        <v>5600</v>
      </c>
      <c r="P10" s="229"/>
      <c r="Q10" s="233">
        <f>Q40</f>
        <v>5250</v>
      </c>
      <c r="R10" s="229"/>
      <c r="S10" s="252">
        <f>S43</f>
        <v>40</v>
      </c>
      <c r="T10" s="216"/>
      <c r="U10" s="69"/>
    </row>
    <row r="11" spans="1:21" ht="16" customHeight="1">
      <c r="A11" s="216"/>
      <c r="B11" s="216"/>
      <c r="C11" s="216"/>
      <c r="D11" s="216"/>
      <c r="E11" s="216"/>
      <c r="F11" s="35"/>
      <c r="G11" s="216"/>
      <c r="H11" s="237">
        <v>4</v>
      </c>
      <c r="I11" s="253" t="s">
        <v>94</v>
      </c>
      <c r="J11" s="237">
        <v>4</v>
      </c>
      <c r="K11" s="254" t="s">
        <v>95</v>
      </c>
      <c r="L11" s="239">
        <v>4</v>
      </c>
      <c r="M11" s="255" t="s">
        <v>93</v>
      </c>
      <c r="N11" s="235">
        <v>4</v>
      </c>
      <c r="O11" s="253" t="s">
        <v>94</v>
      </c>
      <c r="P11" s="235">
        <v>4</v>
      </c>
      <c r="Q11" s="254" t="s">
        <v>96</v>
      </c>
      <c r="R11" s="237">
        <v>4</v>
      </c>
      <c r="S11" s="256" t="s">
        <v>97</v>
      </c>
      <c r="T11" s="216"/>
      <c r="U11" s="69"/>
    </row>
    <row r="12" spans="1:21" ht="16" customHeight="1">
      <c r="A12" s="216"/>
      <c r="B12" s="216"/>
      <c r="C12" s="216"/>
      <c r="D12" s="216"/>
      <c r="E12" s="216"/>
      <c r="F12" s="35"/>
      <c r="G12" s="216"/>
      <c r="H12" s="243"/>
      <c r="I12" s="244">
        <f>I43</f>
        <v>171</v>
      </c>
      <c r="J12" s="243"/>
      <c r="K12" s="244">
        <f>K38</f>
        <v>1200</v>
      </c>
      <c r="L12" s="243"/>
      <c r="M12" s="245">
        <f>M40</f>
        <v>2800</v>
      </c>
      <c r="N12" s="243"/>
      <c r="O12" s="257">
        <f>O43</f>
        <v>5644</v>
      </c>
      <c r="P12" s="241"/>
      <c r="Q12" s="244">
        <f>Q41</f>
        <v>46</v>
      </c>
      <c r="R12" s="243"/>
      <c r="S12" s="257">
        <f>S44</f>
        <v>1</v>
      </c>
      <c r="T12" s="216"/>
      <c r="U12" s="69"/>
    </row>
    <row r="13" spans="1:21" ht="16" customHeight="1">
      <c r="A13" s="216"/>
      <c r="B13" s="216"/>
      <c r="C13" s="216"/>
      <c r="D13" s="216"/>
      <c r="E13" s="216"/>
      <c r="F13" s="35"/>
      <c r="G13" s="216"/>
      <c r="H13" s="251">
        <v>5</v>
      </c>
      <c r="I13" s="258" t="s">
        <v>97</v>
      </c>
      <c r="J13" s="227">
        <v>5</v>
      </c>
      <c r="K13" s="228" t="s">
        <v>98</v>
      </c>
      <c r="L13" s="229">
        <v>5</v>
      </c>
      <c r="M13" s="250" t="s">
        <v>94</v>
      </c>
      <c r="N13" s="229">
        <v>5</v>
      </c>
      <c r="O13" s="259" t="s">
        <v>97</v>
      </c>
      <c r="P13" s="229">
        <v>5</v>
      </c>
      <c r="Q13" s="250" t="s">
        <v>94</v>
      </c>
      <c r="R13" s="227">
        <v>5</v>
      </c>
      <c r="S13" s="260" t="s">
        <v>99</v>
      </c>
      <c r="T13" s="216"/>
      <c r="U13" s="69"/>
    </row>
    <row r="14" spans="1:21" ht="16" customHeight="1">
      <c r="A14" s="216"/>
      <c r="B14" s="216"/>
      <c r="C14" s="216"/>
      <c r="D14" s="216"/>
      <c r="E14" s="216"/>
      <c r="F14" s="35"/>
      <c r="G14" s="216"/>
      <c r="H14" s="251"/>
      <c r="I14" s="261">
        <f>I44</f>
        <v>5</v>
      </c>
      <c r="J14" s="227"/>
      <c r="K14" s="232">
        <f>K39</f>
        <v>1200</v>
      </c>
      <c r="L14" s="227"/>
      <c r="M14" s="252">
        <f>M43</f>
        <v>2934</v>
      </c>
      <c r="N14" s="227"/>
      <c r="O14" s="252">
        <f>O44</f>
        <v>169</v>
      </c>
      <c r="P14" s="229"/>
      <c r="Q14" s="252">
        <f>Q43</f>
        <v>5340</v>
      </c>
      <c r="R14" s="227"/>
      <c r="S14" s="262">
        <f>S45</f>
        <v>0</v>
      </c>
      <c r="T14" s="216"/>
      <c r="U14" s="69"/>
    </row>
    <row r="15" spans="1:21" ht="16" customHeight="1">
      <c r="A15" s="216"/>
      <c r="B15" s="216"/>
      <c r="C15" s="216"/>
      <c r="D15" s="216"/>
      <c r="E15" s="216"/>
      <c r="F15" s="35"/>
      <c r="G15" s="216"/>
      <c r="H15" s="237">
        <v>6</v>
      </c>
      <c r="I15" s="263" t="s">
        <v>100</v>
      </c>
      <c r="J15" s="264">
        <v>6</v>
      </c>
      <c r="K15" s="254" t="s">
        <v>39</v>
      </c>
      <c r="L15" s="237">
        <v>6</v>
      </c>
      <c r="M15" s="256" t="s">
        <v>97</v>
      </c>
      <c r="N15" s="237">
        <v>6</v>
      </c>
      <c r="O15" s="256" t="s">
        <v>99</v>
      </c>
      <c r="P15" s="237">
        <v>6</v>
      </c>
      <c r="Q15" s="265" t="s">
        <v>97</v>
      </c>
      <c r="R15" s="237">
        <v>6</v>
      </c>
      <c r="S15" s="266" t="s">
        <v>100</v>
      </c>
      <c r="T15" s="216"/>
      <c r="U15" s="69"/>
    </row>
    <row r="16" spans="1:21" ht="16" customHeight="1">
      <c r="A16" s="216"/>
      <c r="B16" s="216"/>
      <c r="C16" s="216"/>
      <c r="D16" s="216"/>
      <c r="E16" s="216"/>
      <c r="F16" s="35"/>
      <c r="G16" s="216"/>
      <c r="H16" s="267"/>
      <c r="I16" s="268">
        <f>I46</f>
        <v>176</v>
      </c>
      <c r="J16" s="269"/>
      <c r="K16" s="244">
        <f>K42</f>
        <v>60</v>
      </c>
      <c r="L16" s="267"/>
      <c r="M16" s="257">
        <f>M44</f>
        <v>88</v>
      </c>
      <c r="N16" s="267"/>
      <c r="O16" s="257">
        <f>O45</f>
        <v>89</v>
      </c>
      <c r="P16" s="267"/>
      <c r="Q16" s="270">
        <f>Q44</f>
        <v>160</v>
      </c>
      <c r="R16" s="267"/>
      <c r="S16" s="257">
        <f>S46</f>
        <v>41</v>
      </c>
      <c r="T16" s="216"/>
      <c r="U16" s="69"/>
    </row>
    <row r="17" spans="1:21" ht="16" customHeight="1">
      <c r="A17" s="216"/>
      <c r="B17" s="216"/>
      <c r="C17" s="216"/>
      <c r="D17" s="216"/>
      <c r="E17" s="216"/>
      <c r="F17" s="35"/>
      <c r="G17" s="216"/>
      <c r="H17" s="251">
        <v>7</v>
      </c>
      <c r="I17" s="271" t="s">
        <v>53</v>
      </c>
      <c r="J17" s="251">
        <v>7</v>
      </c>
      <c r="K17" s="250" t="s">
        <v>94</v>
      </c>
      <c r="L17" s="251">
        <v>7</v>
      </c>
      <c r="M17" s="259" t="s">
        <v>99</v>
      </c>
      <c r="N17" s="251">
        <v>7</v>
      </c>
      <c r="O17" s="252" t="s">
        <v>100</v>
      </c>
      <c r="P17" s="251">
        <v>7</v>
      </c>
      <c r="Q17" s="259" t="s">
        <v>99</v>
      </c>
      <c r="R17" s="251">
        <v>7</v>
      </c>
      <c r="S17" s="272" t="s">
        <v>53</v>
      </c>
      <c r="T17" s="216"/>
      <c r="U17" s="69"/>
    </row>
    <row r="18" spans="1:21" ht="16" customHeight="1">
      <c r="A18" s="216"/>
      <c r="B18" s="216"/>
      <c r="C18" s="216"/>
      <c r="D18" s="216"/>
      <c r="E18" s="216"/>
      <c r="F18" s="35"/>
      <c r="G18" s="216"/>
      <c r="H18" s="273"/>
      <c r="I18" s="274">
        <f>I48</f>
        <v>176</v>
      </c>
      <c r="J18" s="275"/>
      <c r="K18" s="252">
        <f>K43</f>
        <v>2859</v>
      </c>
      <c r="L18" s="275"/>
      <c r="M18" s="252">
        <f>M45</f>
        <v>21</v>
      </c>
      <c r="N18" s="273"/>
      <c r="O18" s="257">
        <f>O46</f>
        <v>5902</v>
      </c>
      <c r="P18" s="275"/>
      <c r="Q18" s="252">
        <f>Q45</f>
        <v>231</v>
      </c>
      <c r="R18" s="273"/>
      <c r="S18" s="257">
        <f>S48</f>
        <v>41</v>
      </c>
      <c r="T18" s="216"/>
      <c r="U18" s="69"/>
    </row>
    <row r="19" spans="1:21" ht="16" customHeight="1">
      <c r="A19" s="216"/>
      <c r="B19" s="216"/>
      <c r="C19" s="216"/>
      <c r="D19" s="216"/>
      <c r="E19" s="216"/>
      <c r="F19" s="35"/>
      <c r="G19" s="216"/>
      <c r="H19" s="48"/>
      <c r="I19" s="48"/>
      <c r="J19" s="276">
        <v>8</v>
      </c>
      <c r="K19" s="265" t="s">
        <v>97</v>
      </c>
      <c r="L19" s="276">
        <v>8</v>
      </c>
      <c r="M19" s="266" t="s">
        <v>100</v>
      </c>
      <c r="N19" s="276">
        <v>8</v>
      </c>
      <c r="O19" s="256" t="s">
        <v>53</v>
      </c>
      <c r="P19" s="276">
        <v>8</v>
      </c>
      <c r="Q19" s="266" t="s">
        <v>100</v>
      </c>
      <c r="R19" s="48"/>
      <c r="S19" s="277"/>
      <c r="T19" s="216"/>
      <c r="U19" s="69"/>
    </row>
    <row r="20" spans="1:21" ht="16" customHeight="1">
      <c r="A20" s="216"/>
      <c r="B20" s="216"/>
      <c r="C20" s="216"/>
      <c r="D20" s="216"/>
      <c r="E20" s="216"/>
      <c r="F20" s="35"/>
      <c r="G20" s="216"/>
      <c r="H20" s="48"/>
      <c r="I20" s="48"/>
      <c r="J20" s="273"/>
      <c r="K20" s="270">
        <f>K44</f>
        <v>86</v>
      </c>
      <c r="L20" s="273"/>
      <c r="M20" s="257">
        <f>M46</f>
        <v>3043</v>
      </c>
      <c r="N20" s="273"/>
      <c r="O20" s="257">
        <f>O48</f>
        <v>5902</v>
      </c>
      <c r="P20" s="273"/>
      <c r="Q20" s="257">
        <f>Q46</f>
        <v>5731</v>
      </c>
      <c r="R20" s="48"/>
      <c r="S20" s="277"/>
      <c r="T20" s="216"/>
      <c r="U20" s="69"/>
    </row>
    <row r="21" spans="1:21" ht="16" customHeight="1">
      <c r="A21" s="216"/>
      <c r="B21" s="216"/>
      <c r="C21" s="216"/>
      <c r="D21" s="216"/>
      <c r="E21" s="216"/>
      <c r="F21" s="35"/>
      <c r="G21" s="216"/>
      <c r="H21" s="48"/>
      <c r="I21" s="48"/>
      <c r="J21" s="275">
        <v>9</v>
      </c>
      <c r="K21" s="259" t="s">
        <v>99</v>
      </c>
      <c r="L21" s="275">
        <v>9</v>
      </c>
      <c r="M21" s="259" t="s">
        <v>53</v>
      </c>
      <c r="N21" s="48"/>
      <c r="O21" s="48"/>
      <c r="P21" s="275">
        <v>9</v>
      </c>
      <c r="Q21" s="259" t="s">
        <v>101</v>
      </c>
      <c r="R21" s="48"/>
      <c r="S21" s="277"/>
      <c r="T21" s="216"/>
      <c r="U21" s="69"/>
    </row>
    <row r="22" spans="1:21" ht="16" customHeight="1">
      <c r="A22" s="216"/>
      <c r="B22" s="216"/>
      <c r="C22" s="216"/>
      <c r="D22" s="216"/>
      <c r="E22" s="216"/>
      <c r="F22" s="35"/>
      <c r="G22" s="216"/>
      <c r="H22" s="48"/>
      <c r="I22" s="48"/>
      <c r="J22" s="275"/>
      <c r="K22" s="252">
        <f>K45</f>
        <v>2</v>
      </c>
      <c r="L22" s="273"/>
      <c r="M22" s="257">
        <f>M48</f>
        <v>3043</v>
      </c>
      <c r="N22" s="48"/>
      <c r="O22" s="48"/>
      <c r="P22" s="275"/>
      <c r="Q22" s="252">
        <f>Q47</f>
        <v>7694</v>
      </c>
      <c r="R22" s="48"/>
      <c r="S22" s="277"/>
      <c r="T22" s="216"/>
      <c r="U22" s="69"/>
    </row>
    <row r="23" spans="1:21" ht="16" customHeight="1">
      <c r="A23" s="216"/>
      <c r="B23" s="216"/>
      <c r="C23" s="216"/>
      <c r="D23" s="216"/>
      <c r="E23" s="216"/>
      <c r="F23" s="35"/>
      <c r="G23" s="216"/>
      <c r="H23" s="48"/>
      <c r="I23" s="48"/>
      <c r="J23" s="276">
        <v>10</v>
      </c>
      <c r="K23" s="266" t="s">
        <v>100</v>
      </c>
      <c r="L23" s="48"/>
      <c r="M23" s="278"/>
      <c r="N23" s="48"/>
      <c r="O23" s="48"/>
      <c r="P23" s="276">
        <v>10</v>
      </c>
      <c r="Q23" s="256" t="s">
        <v>53</v>
      </c>
      <c r="R23" s="48"/>
      <c r="S23" s="277"/>
      <c r="T23" s="216"/>
      <c r="U23" s="69"/>
    </row>
    <row r="24" spans="1:21" ht="16" customHeight="1">
      <c r="A24" s="216"/>
      <c r="B24" s="216"/>
      <c r="C24" s="216"/>
      <c r="D24" s="216"/>
      <c r="E24" s="216"/>
      <c r="F24" s="35"/>
      <c r="G24" s="216"/>
      <c r="H24" s="48"/>
      <c r="I24" s="48"/>
      <c r="J24" s="273"/>
      <c r="K24" s="257">
        <f>K46</f>
        <v>2947</v>
      </c>
      <c r="L24" s="48"/>
      <c r="M24" s="278"/>
      <c r="N24" s="48"/>
      <c r="O24" s="48"/>
      <c r="P24" s="273"/>
      <c r="Q24" s="257">
        <f>Q48</f>
        <v>13425</v>
      </c>
      <c r="R24" s="48"/>
      <c r="S24" s="277"/>
      <c r="T24" s="216"/>
      <c r="U24" s="69"/>
    </row>
    <row r="25" spans="1:21" ht="16" customHeight="1">
      <c r="A25" s="216"/>
      <c r="B25" s="216"/>
      <c r="C25" s="216"/>
      <c r="D25" s="216"/>
      <c r="E25" s="216"/>
      <c r="F25" s="35"/>
      <c r="G25" s="216"/>
      <c r="H25" s="48"/>
      <c r="I25" s="48"/>
      <c r="J25" s="275">
        <v>11</v>
      </c>
      <c r="K25" s="259" t="s">
        <v>53</v>
      </c>
      <c r="L25" s="48"/>
      <c r="M25" s="278"/>
      <c r="N25" s="48"/>
      <c r="O25" s="48"/>
      <c r="P25" s="48"/>
      <c r="Q25" s="279"/>
      <c r="R25" s="48"/>
      <c r="S25" s="277"/>
      <c r="T25" s="216"/>
      <c r="U25" s="69"/>
    </row>
    <row r="26" spans="1:21" ht="16" customHeight="1">
      <c r="A26" s="216"/>
      <c r="B26" s="216"/>
      <c r="C26" s="216"/>
      <c r="D26" s="216"/>
      <c r="E26" s="216"/>
      <c r="F26" s="35"/>
      <c r="G26" s="216"/>
      <c r="H26" s="48"/>
      <c r="I26" s="48"/>
      <c r="J26" s="273"/>
      <c r="K26" s="257">
        <f>K48</f>
        <v>2947</v>
      </c>
      <c r="L26" s="48"/>
      <c r="M26" s="278"/>
      <c r="N26" s="48"/>
      <c r="O26" s="48"/>
      <c r="P26" s="48"/>
      <c r="Q26" s="279"/>
      <c r="R26" s="48"/>
      <c r="S26" s="277"/>
      <c r="T26" s="216"/>
      <c r="U26" s="69"/>
    </row>
    <row r="27" spans="1:21" ht="16" customHeight="1">
      <c r="A27" s="216"/>
      <c r="B27" s="216"/>
      <c r="C27" s="216"/>
      <c r="D27" s="216"/>
      <c r="E27" s="216"/>
      <c r="F27" s="35"/>
      <c r="G27" s="216"/>
      <c r="H27" s="35"/>
      <c r="I27" s="35"/>
      <c r="J27" s="35"/>
      <c r="K27" s="216"/>
      <c r="L27" s="35"/>
      <c r="M27" s="217"/>
      <c r="N27" s="35"/>
      <c r="O27" s="35"/>
      <c r="P27" s="35"/>
      <c r="Q27" s="223"/>
      <c r="R27" s="35"/>
      <c r="S27" s="216"/>
      <c r="T27" s="216"/>
      <c r="U27" s="69"/>
    </row>
    <row r="28" spans="1:21" ht="16" customHeight="1">
      <c r="A28" s="216"/>
      <c r="B28" s="216"/>
      <c r="C28" s="216"/>
      <c r="D28" s="216"/>
      <c r="E28" s="216"/>
      <c r="F28" s="35"/>
      <c r="G28" s="216"/>
      <c r="H28" s="35"/>
      <c r="I28" s="35"/>
      <c r="J28" s="35"/>
      <c r="K28" s="216"/>
      <c r="L28" s="35"/>
      <c r="M28" s="217"/>
      <c r="N28" s="35"/>
      <c r="O28" s="35"/>
      <c r="P28" s="35"/>
      <c r="Q28" s="223"/>
      <c r="R28" s="35"/>
      <c r="S28" s="216"/>
      <c r="T28" s="216"/>
      <c r="U28" s="69"/>
    </row>
    <row r="29" spans="1:21" ht="16" customHeight="1">
      <c r="A29" s="216"/>
      <c r="B29" s="216"/>
      <c r="C29" s="216"/>
      <c r="D29" s="216"/>
      <c r="E29" s="216"/>
      <c r="F29" s="560"/>
      <c r="G29" s="561"/>
      <c r="H29" s="517"/>
      <c r="I29" s="561"/>
      <c r="J29" s="560" t="s">
        <v>1</v>
      </c>
      <c r="K29" s="561"/>
      <c r="L29" s="562" t="s">
        <v>2</v>
      </c>
      <c r="M29" s="561"/>
      <c r="N29" s="517"/>
      <c r="O29" s="561"/>
      <c r="P29" s="563" t="s">
        <v>3</v>
      </c>
      <c r="Q29" s="561"/>
      <c r="R29" s="560"/>
      <c r="S29" s="561"/>
      <c r="T29" s="216"/>
      <c r="U29" s="69"/>
    </row>
    <row r="30" spans="1:21" ht="16" customHeight="1" thickBot="1">
      <c r="A30" s="560" t="s">
        <v>4</v>
      </c>
      <c r="B30" s="561"/>
      <c r="C30" s="561"/>
      <c r="D30" s="561"/>
      <c r="E30" s="561"/>
      <c r="F30" s="564"/>
      <c r="G30" s="561"/>
      <c r="H30" s="517" t="s">
        <v>5</v>
      </c>
      <c r="I30" s="561"/>
      <c r="J30" s="562" t="s">
        <v>6</v>
      </c>
      <c r="K30" s="561"/>
      <c r="L30" s="517" t="s">
        <v>7</v>
      </c>
      <c r="M30" s="561"/>
      <c r="N30" s="565"/>
      <c r="O30" s="561"/>
      <c r="P30" s="565"/>
      <c r="Q30" s="561"/>
      <c r="R30" s="565"/>
      <c r="S30" s="561"/>
      <c r="T30" s="216"/>
      <c r="U30" s="69"/>
    </row>
    <row r="31" spans="1:21" ht="16" customHeight="1">
      <c r="A31" s="585"/>
      <c r="B31" s="586"/>
      <c r="C31" s="586"/>
      <c r="D31" s="586"/>
      <c r="E31" s="567"/>
      <c r="F31" s="587" t="s">
        <v>8</v>
      </c>
      <c r="G31" s="567"/>
      <c r="H31" s="566" t="s">
        <v>9</v>
      </c>
      <c r="I31" s="567"/>
      <c r="J31" s="566" t="s">
        <v>10</v>
      </c>
      <c r="K31" s="567"/>
      <c r="L31" s="566" t="s">
        <v>11</v>
      </c>
      <c r="M31" s="567"/>
      <c r="N31" s="566" t="s">
        <v>12</v>
      </c>
      <c r="O31" s="567"/>
      <c r="P31" s="566" t="s">
        <v>13</v>
      </c>
      <c r="Q31" s="567"/>
      <c r="R31" s="566" t="s">
        <v>14</v>
      </c>
      <c r="S31" s="568"/>
      <c r="T31" s="216"/>
      <c r="U31" s="69"/>
    </row>
    <row r="32" spans="1:21" ht="16" customHeight="1" thickBot="1">
      <c r="A32" s="569" t="s">
        <v>15</v>
      </c>
      <c r="B32" s="572"/>
      <c r="C32" s="574"/>
      <c r="D32" s="576" t="s">
        <v>16</v>
      </c>
      <c r="E32" s="139" t="s">
        <v>17</v>
      </c>
      <c r="F32" s="1"/>
      <c r="G32" s="315">
        <f>I32</f>
        <v>144</v>
      </c>
      <c r="H32" s="12"/>
      <c r="I32" s="316">
        <v>144</v>
      </c>
      <c r="J32" s="12"/>
      <c r="K32" s="151" t="s">
        <v>18</v>
      </c>
      <c r="L32" s="12"/>
      <c r="M32" s="151" t="s">
        <v>18</v>
      </c>
      <c r="N32" s="12"/>
      <c r="O32" s="151" t="s">
        <v>18</v>
      </c>
      <c r="P32" s="12"/>
      <c r="Q32" s="151" t="s">
        <v>18</v>
      </c>
      <c r="R32" s="12"/>
      <c r="S32" s="317" t="s">
        <v>18</v>
      </c>
      <c r="T32" s="280"/>
      <c r="U32" s="69"/>
    </row>
    <row r="33" spans="1:25" ht="16" customHeight="1" thickTop="1" thickBot="1">
      <c r="A33" s="570"/>
      <c r="B33" s="573"/>
      <c r="C33" s="575"/>
      <c r="D33" s="577"/>
      <c r="E33" s="281" t="s">
        <v>19</v>
      </c>
      <c r="F33" s="5" t="s">
        <v>20</v>
      </c>
      <c r="G33" s="318">
        <f>I33</f>
        <v>7</v>
      </c>
      <c r="H33" s="12"/>
      <c r="I33" s="197">
        <f>5*1400/1000</f>
        <v>7</v>
      </c>
      <c r="J33" s="13"/>
      <c r="K33" s="170" t="s">
        <v>18</v>
      </c>
      <c r="L33" s="13"/>
      <c r="M33" s="170" t="s">
        <v>18</v>
      </c>
      <c r="N33" s="12"/>
      <c r="O33" s="151" t="s">
        <v>18</v>
      </c>
      <c r="P33" s="12"/>
      <c r="Q33" s="151" t="s">
        <v>18</v>
      </c>
      <c r="R33" s="12"/>
      <c r="S33" s="317" t="s">
        <v>18</v>
      </c>
      <c r="T33" s="280"/>
      <c r="U33" s="69"/>
    </row>
    <row r="34" spans="1:25" ht="16" customHeight="1" thickTop="1" thickBot="1">
      <c r="A34" s="570"/>
      <c r="B34" s="573"/>
      <c r="C34" s="575"/>
      <c r="D34" s="577"/>
      <c r="E34" s="281" t="s">
        <v>21</v>
      </c>
      <c r="F34" s="3" t="s">
        <v>22</v>
      </c>
      <c r="G34" s="138">
        <f>ROUND(13650*2.9/100,0)</f>
        <v>396</v>
      </c>
      <c r="H34" s="12"/>
      <c r="I34" s="152" t="s">
        <v>18</v>
      </c>
      <c r="J34" s="14"/>
      <c r="K34" s="319">
        <v>324</v>
      </c>
      <c r="L34" s="15" t="s">
        <v>23</v>
      </c>
      <c r="M34" s="172">
        <f>(G34-K34)/3</f>
        <v>24</v>
      </c>
      <c r="N34" s="12"/>
      <c r="O34" s="197">
        <f>(G34-K34)/3</f>
        <v>24</v>
      </c>
      <c r="P34" s="12"/>
      <c r="Q34" s="197">
        <f>(G34-K34)/3</f>
        <v>24</v>
      </c>
      <c r="R34" s="12"/>
      <c r="S34" s="320" t="s">
        <v>18</v>
      </c>
      <c r="T34" s="280"/>
      <c r="U34" s="69"/>
    </row>
    <row r="35" spans="1:25" ht="16" customHeight="1" thickTop="1" thickBot="1">
      <c r="A35" s="570"/>
      <c r="B35" s="573"/>
      <c r="C35" s="575"/>
      <c r="D35" s="577"/>
      <c r="E35" s="139" t="s">
        <v>24</v>
      </c>
      <c r="F35" s="4"/>
      <c r="G35" s="139">
        <f>K35+S35</f>
        <v>75</v>
      </c>
      <c r="H35" s="12"/>
      <c r="I35" s="152" t="s">
        <v>18</v>
      </c>
      <c r="J35" s="15" t="s">
        <v>25</v>
      </c>
      <c r="K35" s="172">
        <f>7500*10/1000-S35</f>
        <v>55</v>
      </c>
      <c r="L35" s="16"/>
      <c r="M35" s="151" t="s">
        <v>18</v>
      </c>
      <c r="N35" s="12"/>
      <c r="O35" s="151" t="s">
        <v>18</v>
      </c>
      <c r="P35" s="12"/>
      <c r="Q35" s="151" t="s">
        <v>18</v>
      </c>
      <c r="R35" s="12"/>
      <c r="S35" s="321">
        <v>20</v>
      </c>
      <c r="T35" s="280"/>
      <c r="U35" s="69"/>
    </row>
    <row r="36" spans="1:25" ht="16" customHeight="1" thickTop="1" thickBot="1">
      <c r="A36" s="570"/>
      <c r="B36" s="573"/>
      <c r="C36" s="575"/>
      <c r="D36" s="578"/>
      <c r="E36" s="139" t="s">
        <v>26</v>
      </c>
      <c r="F36" s="4"/>
      <c r="G36" s="322">
        <f>20+20+20+20+20+20</f>
        <v>120</v>
      </c>
      <c r="H36" s="12"/>
      <c r="I36" s="316">
        <v>20</v>
      </c>
      <c r="J36" s="12"/>
      <c r="K36" s="316">
        <v>20</v>
      </c>
      <c r="L36" s="13"/>
      <c r="M36" s="323">
        <v>20</v>
      </c>
      <c r="N36" s="12"/>
      <c r="O36" s="316">
        <v>20</v>
      </c>
      <c r="P36" s="17"/>
      <c r="Q36" s="324">
        <v>20</v>
      </c>
      <c r="R36" s="17"/>
      <c r="S36" s="325">
        <v>20</v>
      </c>
      <c r="T36" s="280"/>
      <c r="U36" s="69"/>
    </row>
    <row r="37" spans="1:25" ht="16" customHeight="1" thickTop="1" thickBot="1">
      <c r="A37" s="570"/>
      <c r="B37" s="573"/>
      <c r="C37" s="575"/>
      <c r="D37" s="139" t="s">
        <v>27</v>
      </c>
      <c r="E37" s="139" t="s">
        <v>28</v>
      </c>
      <c r="F37" s="2"/>
      <c r="G37" s="139">
        <f>M37</f>
        <v>90</v>
      </c>
      <c r="H37" s="12"/>
      <c r="I37" s="151" t="s">
        <v>18</v>
      </c>
      <c r="J37" s="12"/>
      <c r="K37" s="152" t="s">
        <v>18</v>
      </c>
      <c r="L37" s="15" t="s">
        <v>29</v>
      </c>
      <c r="M37" s="172">
        <f>9000*10/1000</f>
        <v>90</v>
      </c>
      <c r="N37" s="16"/>
      <c r="O37" s="151" t="s">
        <v>18</v>
      </c>
      <c r="P37" s="12"/>
      <c r="Q37" s="151" t="s">
        <v>18</v>
      </c>
      <c r="R37" s="12"/>
      <c r="S37" s="317" t="s">
        <v>18</v>
      </c>
      <c r="T37" s="280"/>
      <c r="U37" s="69"/>
    </row>
    <row r="38" spans="1:25" ht="16" customHeight="1" thickTop="1">
      <c r="A38" s="570"/>
      <c r="B38" s="573"/>
      <c r="C38" s="575"/>
      <c r="D38" s="576" t="s">
        <v>30</v>
      </c>
      <c r="E38" s="139" t="s">
        <v>31</v>
      </c>
      <c r="F38" s="2"/>
      <c r="G38" s="145">
        <f>K38</f>
        <v>1200</v>
      </c>
      <c r="H38" s="12"/>
      <c r="I38" s="151" t="s">
        <v>18</v>
      </c>
      <c r="J38" s="12"/>
      <c r="K38" s="326">
        <f>1000+200</f>
        <v>1200</v>
      </c>
      <c r="L38" s="12"/>
      <c r="M38" s="151" t="s">
        <v>18</v>
      </c>
      <c r="N38" s="12"/>
      <c r="O38" s="151" t="s">
        <v>18</v>
      </c>
      <c r="P38" s="12"/>
      <c r="Q38" s="151" t="s">
        <v>18</v>
      </c>
      <c r="R38" s="12"/>
      <c r="S38" s="317" t="s">
        <v>18</v>
      </c>
      <c r="T38" s="280"/>
      <c r="U38" s="69"/>
    </row>
    <row r="39" spans="1:25" ht="16" customHeight="1" thickBot="1">
      <c r="A39" s="570"/>
      <c r="B39" s="573"/>
      <c r="C39" s="575"/>
      <c r="D39" s="578"/>
      <c r="E39" s="139" t="s">
        <v>32</v>
      </c>
      <c r="F39" s="2"/>
      <c r="G39" s="145">
        <f>K39</f>
        <v>1200</v>
      </c>
      <c r="H39" s="12"/>
      <c r="I39" s="151" t="s">
        <v>18</v>
      </c>
      <c r="J39" s="12"/>
      <c r="K39" s="196">
        <v>1200</v>
      </c>
      <c r="L39" s="12"/>
      <c r="M39" s="170" t="s">
        <v>18</v>
      </c>
      <c r="N39" s="12"/>
      <c r="O39" s="170" t="s">
        <v>18</v>
      </c>
      <c r="P39" s="13"/>
      <c r="Q39" s="170" t="s">
        <v>18</v>
      </c>
      <c r="R39" s="12"/>
      <c r="S39" s="317" t="s">
        <v>18</v>
      </c>
      <c r="T39" s="280"/>
      <c r="U39" s="69"/>
    </row>
    <row r="40" spans="1:25" ht="16" customHeight="1" thickTop="1" thickBot="1">
      <c r="A40" s="570"/>
      <c r="B40" s="573"/>
      <c r="C40" s="575"/>
      <c r="D40" s="576" t="s">
        <v>33</v>
      </c>
      <c r="E40" s="139" t="s">
        <v>34</v>
      </c>
      <c r="F40" s="4"/>
      <c r="G40" s="145">
        <f>M40+O40+Q40</f>
        <v>13650</v>
      </c>
      <c r="H40" s="12"/>
      <c r="I40" s="151" t="s">
        <v>18</v>
      </c>
      <c r="J40" s="12"/>
      <c r="K40" s="151" t="s">
        <v>18</v>
      </c>
      <c r="L40" s="12"/>
      <c r="M40" s="327">
        <v>2800</v>
      </c>
      <c r="N40" s="12"/>
      <c r="O40" s="328">
        <v>5600</v>
      </c>
      <c r="P40" s="18" t="s">
        <v>35</v>
      </c>
      <c r="Q40" s="329">
        <f>(11700+1950)-2800-5600</f>
        <v>5250</v>
      </c>
      <c r="R40" s="12"/>
      <c r="S40" s="317" t="s">
        <v>18</v>
      </c>
      <c r="T40" s="280"/>
      <c r="U40" s="69"/>
    </row>
    <row r="41" spans="1:25" ht="16" customHeight="1" thickTop="1" thickBot="1">
      <c r="A41" s="570"/>
      <c r="B41" s="573"/>
      <c r="C41" s="575"/>
      <c r="D41" s="578"/>
      <c r="E41" s="139" t="s">
        <v>36</v>
      </c>
      <c r="F41" s="2"/>
      <c r="G41" s="369">
        <f>Q41</f>
        <v>46</v>
      </c>
      <c r="H41" s="12"/>
      <c r="I41" s="151" t="s">
        <v>18</v>
      </c>
      <c r="J41" s="13"/>
      <c r="K41" s="330" t="s">
        <v>18</v>
      </c>
      <c r="L41" s="12"/>
      <c r="M41" s="151" t="s">
        <v>18</v>
      </c>
      <c r="N41" s="12"/>
      <c r="O41" s="152" t="s">
        <v>18</v>
      </c>
      <c r="P41" s="15" t="s">
        <v>37</v>
      </c>
      <c r="Q41" s="331">
        <f>(7500-5200)*20/1000</f>
        <v>46</v>
      </c>
      <c r="R41" s="12"/>
      <c r="S41" s="317" t="s">
        <v>18</v>
      </c>
      <c r="T41" s="280"/>
      <c r="U41" s="69"/>
    </row>
    <row r="42" spans="1:25" ht="16" customHeight="1" thickTop="1" thickBot="1">
      <c r="A42" s="570"/>
      <c r="B42" s="573"/>
      <c r="C42" s="575"/>
      <c r="D42" s="139" t="s">
        <v>38</v>
      </c>
      <c r="E42" s="139" t="s">
        <v>39</v>
      </c>
      <c r="F42" s="2"/>
      <c r="G42" s="139">
        <f>K42</f>
        <v>60</v>
      </c>
      <c r="H42" s="12"/>
      <c r="I42" s="152" t="s">
        <v>18</v>
      </c>
      <c r="J42" s="15" t="s">
        <v>40</v>
      </c>
      <c r="K42" s="172">
        <f>10*6</f>
        <v>60</v>
      </c>
      <c r="L42" s="12"/>
      <c r="M42" s="151" t="s">
        <v>18</v>
      </c>
      <c r="N42" s="12"/>
      <c r="O42" s="151" t="s">
        <v>18</v>
      </c>
      <c r="P42" s="12"/>
      <c r="Q42" s="151" t="s">
        <v>18</v>
      </c>
      <c r="R42" s="12"/>
      <c r="S42" s="317" t="s">
        <v>18</v>
      </c>
      <c r="T42" s="280"/>
      <c r="U42" s="69"/>
    </row>
    <row r="43" spans="1:25" ht="16" customHeight="1" thickTop="1" thickBot="1">
      <c r="A43" s="570"/>
      <c r="B43" s="573"/>
      <c r="C43" s="579" t="s">
        <v>41</v>
      </c>
      <c r="D43" s="580"/>
      <c r="E43" s="581"/>
      <c r="F43" s="6"/>
      <c r="G43" s="141">
        <f>SUM(G32:G42)</f>
        <v>16988</v>
      </c>
      <c r="H43" s="12"/>
      <c r="I43" s="197">
        <f>SUM(I32:I42)</f>
        <v>171</v>
      </c>
      <c r="J43" s="12"/>
      <c r="K43" s="326">
        <f>SUM(K32:K42)</f>
        <v>2859</v>
      </c>
      <c r="L43" s="12"/>
      <c r="M43" s="326">
        <f>SUM(M32:M42)</f>
        <v>2934</v>
      </c>
      <c r="N43" s="12"/>
      <c r="O43" s="326">
        <f>SUM(O32:O42)</f>
        <v>5644</v>
      </c>
      <c r="P43" s="12"/>
      <c r="Q43" s="326">
        <f>SUM(Q32:Q42)</f>
        <v>5340</v>
      </c>
      <c r="R43" s="12"/>
      <c r="S43" s="332">
        <f>SUM(S32:S42)</f>
        <v>40</v>
      </c>
      <c r="T43" s="280"/>
      <c r="U43" s="69"/>
    </row>
    <row r="44" spans="1:25" ht="16" customHeight="1" thickTop="1" thickBot="1">
      <c r="A44" s="570"/>
      <c r="B44" s="573"/>
      <c r="C44" s="582" t="s">
        <v>42</v>
      </c>
      <c r="D44" s="583"/>
      <c r="E44" s="584"/>
      <c r="F44" s="3" t="s">
        <v>43</v>
      </c>
      <c r="G44" s="138">
        <f>SUM(I44:S44)</f>
        <v>509</v>
      </c>
      <c r="H44" s="12"/>
      <c r="I44" s="186">
        <f>ROUND(I43*3/100,0)</f>
        <v>5</v>
      </c>
      <c r="J44" s="13"/>
      <c r="K44" s="153">
        <f>ROUND(K43*3/100,0)</f>
        <v>86</v>
      </c>
      <c r="L44" s="13"/>
      <c r="M44" s="333">
        <f>ROUND(M43*3/100,0)</f>
        <v>88</v>
      </c>
      <c r="N44" s="13"/>
      <c r="O44" s="153">
        <f>ROUND(O43*3/100,0)</f>
        <v>169</v>
      </c>
      <c r="P44" s="13"/>
      <c r="Q44" s="333">
        <f>ROUND(Q43*3/100,0)</f>
        <v>160</v>
      </c>
      <c r="R44" s="12"/>
      <c r="S44" s="332">
        <f>ROUND(S43*3/100,0)</f>
        <v>1</v>
      </c>
      <c r="T44" s="280"/>
      <c r="U44" s="69"/>
    </row>
    <row r="45" spans="1:25" ht="16" customHeight="1" thickTop="1" thickBot="1">
      <c r="A45" s="570"/>
      <c r="B45" s="573"/>
      <c r="C45" s="582" t="s">
        <v>44</v>
      </c>
      <c r="D45" s="583"/>
      <c r="E45" s="584"/>
      <c r="F45" s="1"/>
      <c r="G45" s="141">
        <f>K45+M45+O45+Q45+S45</f>
        <v>343</v>
      </c>
      <c r="H45" s="12"/>
      <c r="I45" s="152" t="s">
        <v>18</v>
      </c>
      <c r="J45" s="15" t="s">
        <v>45</v>
      </c>
      <c r="K45" s="334">
        <f>ROUND(I69*3/100,0)</f>
        <v>2</v>
      </c>
      <c r="L45" s="15" t="s">
        <v>46</v>
      </c>
      <c r="M45" s="172">
        <f>ROUND(K69*3/100,0)</f>
        <v>21</v>
      </c>
      <c r="N45" s="19" t="s">
        <v>47</v>
      </c>
      <c r="O45" s="335">
        <f>ROUND(M69*3/100,0)</f>
        <v>89</v>
      </c>
      <c r="P45" s="15" t="s">
        <v>48</v>
      </c>
      <c r="Q45" s="157">
        <f>ROUND(O69*3/100,0)</f>
        <v>231</v>
      </c>
      <c r="R45" s="12"/>
      <c r="S45" s="336">
        <v>0</v>
      </c>
      <c r="T45" s="280"/>
      <c r="U45" s="69"/>
    </row>
    <row r="46" spans="1:25" ht="16" customHeight="1" thickTop="1" thickBot="1">
      <c r="A46" s="570"/>
      <c r="B46" s="579" t="s">
        <v>49</v>
      </c>
      <c r="C46" s="580"/>
      <c r="D46" s="580"/>
      <c r="E46" s="581"/>
      <c r="F46" s="3" t="s">
        <v>50</v>
      </c>
      <c r="G46" s="142">
        <f>SUM(G43:G45)</f>
        <v>17840</v>
      </c>
      <c r="H46" s="12"/>
      <c r="I46" s="197">
        <f>I43+I44</f>
        <v>176</v>
      </c>
      <c r="J46" s="12"/>
      <c r="K46" s="326">
        <f>SUM(K43:K45)</f>
        <v>2947</v>
      </c>
      <c r="L46" s="12"/>
      <c r="M46" s="326">
        <f>SUM(M43:M45)</f>
        <v>3043</v>
      </c>
      <c r="N46" s="12"/>
      <c r="O46" s="326">
        <f>SUM(O43:O45)</f>
        <v>5902</v>
      </c>
      <c r="P46" s="13"/>
      <c r="Q46" s="173">
        <f>SUM(Q43:Q45)</f>
        <v>5731</v>
      </c>
      <c r="R46" s="12"/>
      <c r="S46" s="332">
        <f>SUM(S43:S45)</f>
        <v>41</v>
      </c>
      <c r="T46" s="280"/>
      <c r="U46" s="69"/>
      <c r="V46" s="500" t="s">
        <v>229</v>
      </c>
      <c r="W46" s="501"/>
      <c r="X46" s="501"/>
      <c r="Y46" s="502"/>
    </row>
    <row r="47" spans="1:25" ht="16" customHeight="1" thickTop="1" thickBot="1">
      <c r="A47" s="571"/>
      <c r="B47" s="588" t="s">
        <v>51</v>
      </c>
      <c r="C47" s="583"/>
      <c r="D47" s="583"/>
      <c r="E47" s="584"/>
      <c r="F47" s="2"/>
      <c r="G47" s="139" t="s">
        <v>18</v>
      </c>
      <c r="H47" s="12"/>
      <c r="I47" s="151" t="s">
        <v>18</v>
      </c>
      <c r="J47" s="12"/>
      <c r="K47" s="337" t="s">
        <v>18</v>
      </c>
      <c r="L47" s="12"/>
      <c r="M47" s="151" t="s">
        <v>18</v>
      </c>
      <c r="N47" s="12"/>
      <c r="O47" s="152" t="s">
        <v>18</v>
      </c>
      <c r="P47" s="15" t="s">
        <v>52</v>
      </c>
      <c r="Q47" s="157">
        <f>O69</f>
        <v>7694</v>
      </c>
      <c r="R47" s="12"/>
      <c r="S47" s="317" t="s">
        <v>18</v>
      </c>
      <c r="T47" s="280"/>
      <c r="U47" s="69"/>
      <c r="V47" s="485" t="s">
        <v>220</v>
      </c>
      <c r="W47" s="496"/>
      <c r="X47" s="486" t="s">
        <v>221</v>
      </c>
      <c r="Y47" s="487"/>
    </row>
    <row r="48" spans="1:25" ht="16" customHeight="1" thickTop="1" thickBot="1">
      <c r="A48" s="589" t="s">
        <v>53</v>
      </c>
      <c r="B48" s="590"/>
      <c r="C48" s="590"/>
      <c r="D48" s="590"/>
      <c r="E48" s="591"/>
      <c r="F48" s="7"/>
      <c r="G48" s="338" t="s">
        <v>18</v>
      </c>
      <c r="H48" s="20"/>
      <c r="I48" s="202">
        <f>SUM(I46:I47)</f>
        <v>176</v>
      </c>
      <c r="J48" s="20"/>
      <c r="K48" s="176">
        <f>SUM(K46:K47)</f>
        <v>2947</v>
      </c>
      <c r="L48" s="20"/>
      <c r="M48" s="176">
        <f>SUM(M46:M47)</f>
        <v>3043</v>
      </c>
      <c r="N48" s="20"/>
      <c r="O48" s="176">
        <f>SUM(O46:O47)</f>
        <v>5902</v>
      </c>
      <c r="P48" s="20"/>
      <c r="Q48" s="176">
        <f>SUM(Q46:Q47)</f>
        <v>13425</v>
      </c>
      <c r="R48" s="20"/>
      <c r="S48" s="339">
        <f>SUM(S46:S47)</f>
        <v>41</v>
      </c>
      <c r="T48" s="280"/>
      <c r="U48" s="69"/>
      <c r="V48" s="488"/>
      <c r="W48" s="497"/>
      <c r="X48" s="489" t="s">
        <v>223</v>
      </c>
      <c r="Y48" s="490">
        <f>G59</f>
        <v>2713</v>
      </c>
    </row>
    <row r="49" spans="1:25" ht="16" customHeight="1" thickTop="1">
      <c r="A49" s="569" t="s">
        <v>54</v>
      </c>
      <c r="B49" s="592"/>
      <c r="C49" s="593"/>
      <c r="D49" s="576" t="s">
        <v>16</v>
      </c>
      <c r="E49" s="139" t="s">
        <v>17</v>
      </c>
      <c r="F49" s="2"/>
      <c r="G49" s="322">
        <f>I49</f>
        <v>96</v>
      </c>
      <c r="H49" s="21"/>
      <c r="I49" s="188">
        <f>I32*2/3</f>
        <v>96</v>
      </c>
      <c r="J49" s="21"/>
      <c r="K49" s="340" t="s">
        <v>18</v>
      </c>
      <c r="L49" s="21"/>
      <c r="M49" s="340" t="s">
        <v>18</v>
      </c>
      <c r="N49" s="21"/>
      <c r="O49" s="340" t="s">
        <v>18</v>
      </c>
      <c r="P49" s="21"/>
      <c r="Q49" s="340" t="s">
        <v>18</v>
      </c>
      <c r="R49" s="21"/>
      <c r="S49" s="341" t="s">
        <v>18</v>
      </c>
      <c r="T49" s="280"/>
      <c r="U49" s="69"/>
      <c r="V49" s="488"/>
      <c r="W49" s="497"/>
      <c r="X49" s="489" t="s">
        <v>224</v>
      </c>
      <c r="Y49" s="490">
        <f>G62</f>
        <v>740</v>
      </c>
    </row>
    <row r="50" spans="1:25" ht="16" customHeight="1" thickBot="1">
      <c r="A50" s="570"/>
      <c r="B50" s="575"/>
      <c r="C50" s="594"/>
      <c r="D50" s="577"/>
      <c r="E50" s="139" t="s">
        <v>19</v>
      </c>
      <c r="F50" s="2"/>
      <c r="G50" s="322">
        <f>I50</f>
        <v>5</v>
      </c>
      <c r="H50" s="21"/>
      <c r="I50" s="188">
        <f>ROUND(I33*2/3,0)</f>
        <v>5</v>
      </c>
      <c r="J50" s="22"/>
      <c r="K50" s="342" t="s">
        <v>18</v>
      </c>
      <c r="L50" s="22"/>
      <c r="M50" s="342" t="s">
        <v>18</v>
      </c>
      <c r="N50" s="21"/>
      <c r="O50" s="342" t="s">
        <v>18</v>
      </c>
      <c r="P50" s="21"/>
      <c r="Q50" s="343" t="s">
        <v>18</v>
      </c>
      <c r="R50" s="21"/>
      <c r="S50" s="344" t="s">
        <v>18</v>
      </c>
      <c r="T50" s="280"/>
      <c r="U50" s="69"/>
      <c r="V50" s="491"/>
      <c r="W50" s="498"/>
      <c r="X50" s="484" t="s">
        <v>225</v>
      </c>
      <c r="Y50" s="492">
        <f>Y51-Y48-Y49</f>
        <v>14387</v>
      </c>
    </row>
    <row r="51" spans="1:25" ht="16" customHeight="1" thickTop="1" thickBot="1">
      <c r="A51" s="570"/>
      <c r="B51" s="575"/>
      <c r="C51" s="594"/>
      <c r="D51" s="577"/>
      <c r="E51" s="139" t="s">
        <v>21</v>
      </c>
      <c r="F51" s="2"/>
      <c r="G51" s="139">
        <f>K51+M51+O51+Q51</f>
        <v>264</v>
      </c>
      <c r="H51" s="21"/>
      <c r="I51" s="282" t="s">
        <v>18</v>
      </c>
      <c r="J51" s="23"/>
      <c r="K51" s="345">
        <f>ROUND(K34*2/3,0)</f>
        <v>216</v>
      </c>
      <c r="L51" s="24" t="s">
        <v>55</v>
      </c>
      <c r="M51" s="161">
        <f>ROUND(M34*2/3,0)</f>
        <v>16</v>
      </c>
      <c r="N51" s="25"/>
      <c r="O51" s="346">
        <f>ROUND(O34*2/3,0)</f>
        <v>16</v>
      </c>
      <c r="P51" s="21"/>
      <c r="Q51" s="188">
        <f>ROUND(Q34*2/3,0)</f>
        <v>16</v>
      </c>
      <c r="R51" s="21"/>
      <c r="S51" s="344" t="s">
        <v>18</v>
      </c>
      <c r="T51" s="280"/>
      <c r="U51" s="69"/>
      <c r="V51" s="493" t="s">
        <v>222</v>
      </c>
      <c r="W51" s="499">
        <f>G46</f>
        <v>17840</v>
      </c>
      <c r="X51" s="494"/>
      <c r="Y51" s="495">
        <f>W51</f>
        <v>17840</v>
      </c>
    </row>
    <row r="52" spans="1:25" ht="16" customHeight="1" thickTop="1">
      <c r="A52" s="570"/>
      <c r="B52" s="575"/>
      <c r="C52" s="594"/>
      <c r="D52" s="578"/>
      <c r="E52" s="139" t="s">
        <v>24</v>
      </c>
      <c r="F52" s="2"/>
      <c r="G52" s="145">
        <f>K52+S52</f>
        <v>50</v>
      </c>
      <c r="H52" s="21"/>
      <c r="I52" s="179" t="s">
        <v>18</v>
      </c>
      <c r="J52" s="21"/>
      <c r="K52" s="181">
        <f>ROUND(K35*2/3,0)</f>
        <v>37</v>
      </c>
      <c r="L52" s="21"/>
      <c r="M52" s="160" t="s">
        <v>18</v>
      </c>
      <c r="N52" s="21"/>
      <c r="O52" s="340" t="s">
        <v>18</v>
      </c>
      <c r="P52" s="21"/>
      <c r="Q52" s="340" t="s">
        <v>18</v>
      </c>
      <c r="R52" s="21"/>
      <c r="S52" s="347">
        <f>ROUND(S35*2/3,0)</f>
        <v>13</v>
      </c>
      <c r="T52" s="280"/>
      <c r="U52" s="69"/>
      <c r="V52" s="488"/>
      <c r="W52" s="489"/>
      <c r="X52" s="489"/>
      <c r="Y52" s="503"/>
    </row>
    <row r="53" spans="1:25" ht="16" customHeight="1">
      <c r="A53" s="570"/>
      <c r="B53" s="575"/>
      <c r="C53" s="594"/>
      <c r="D53" s="139" t="s">
        <v>27</v>
      </c>
      <c r="E53" s="139" t="s">
        <v>28</v>
      </c>
      <c r="F53" s="2"/>
      <c r="G53" s="145">
        <f>M53</f>
        <v>60</v>
      </c>
      <c r="H53" s="21"/>
      <c r="I53" s="179" t="s">
        <v>18</v>
      </c>
      <c r="J53" s="21"/>
      <c r="K53" s="340" t="s">
        <v>18</v>
      </c>
      <c r="L53" s="21"/>
      <c r="M53" s="348">
        <f>ROUND(M37*2/3,0)</f>
        <v>60</v>
      </c>
      <c r="N53" s="21"/>
      <c r="O53" s="340" t="s">
        <v>18</v>
      </c>
      <c r="P53" s="21"/>
      <c r="Q53" s="179" t="s">
        <v>18</v>
      </c>
      <c r="R53" s="21"/>
      <c r="S53" s="344" t="s">
        <v>18</v>
      </c>
      <c r="T53" s="280"/>
      <c r="U53" s="69"/>
      <c r="V53" s="488"/>
      <c r="W53" s="489"/>
      <c r="X53" s="489"/>
      <c r="Y53" s="503"/>
    </row>
    <row r="54" spans="1:25" ht="16" customHeight="1" thickBot="1">
      <c r="A54" s="570"/>
      <c r="B54" s="575"/>
      <c r="C54" s="594"/>
      <c r="D54" s="576" t="s">
        <v>30</v>
      </c>
      <c r="E54" s="139" t="s">
        <v>31</v>
      </c>
      <c r="F54" s="2"/>
      <c r="G54" s="145">
        <f>K54</f>
        <v>120</v>
      </c>
      <c r="H54" s="21"/>
      <c r="I54" s="179" t="s">
        <v>18</v>
      </c>
      <c r="J54" s="21"/>
      <c r="K54" s="190">
        <v>120</v>
      </c>
      <c r="L54" s="21"/>
      <c r="M54" s="179" t="s">
        <v>18</v>
      </c>
      <c r="N54" s="21"/>
      <c r="O54" s="340" t="s">
        <v>18</v>
      </c>
      <c r="P54" s="22"/>
      <c r="Q54" s="342" t="s">
        <v>18</v>
      </c>
      <c r="R54" s="21"/>
      <c r="S54" s="341" t="s">
        <v>18</v>
      </c>
      <c r="T54" s="280"/>
      <c r="U54" s="69"/>
      <c r="V54" s="488"/>
      <c r="W54" s="489"/>
      <c r="X54" s="489" t="s">
        <v>231</v>
      </c>
      <c r="Y54" s="504">
        <f>K63</f>
        <v>500</v>
      </c>
    </row>
    <row r="55" spans="1:25" ht="16" customHeight="1" thickTop="1" thickBot="1">
      <c r="A55" s="570"/>
      <c r="B55" s="575"/>
      <c r="C55" s="594"/>
      <c r="D55" s="577"/>
      <c r="E55" s="139" t="s">
        <v>56</v>
      </c>
      <c r="F55" s="8"/>
      <c r="G55" s="145">
        <f>Q55</f>
        <v>480</v>
      </c>
      <c r="H55" s="21"/>
      <c r="I55" s="179" t="s">
        <v>18</v>
      </c>
      <c r="J55" s="21"/>
      <c r="K55" s="340" t="s">
        <v>18</v>
      </c>
      <c r="L55" s="21"/>
      <c r="M55" s="340" t="s">
        <v>18</v>
      </c>
      <c r="N55" s="21"/>
      <c r="O55" s="284" t="s">
        <v>18</v>
      </c>
      <c r="P55" s="24" t="s">
        <v>57</v>
      </c>
      <c r="Q55" s="349">
        <f>ROUND(720*2/3,0)</f>
        <v>480</v>
      </c>
      <c r="R55" s="21"/>
      <c r="S55" s="344" t="s">
        <v>18</v>
      </c>
      <c r="T55" s="280"/>
      <c r="U55" s="69"/>
      <c r="V55" s="488"/>
      <c r="W55" s="489"/>
      <c r="X55" s="489" t="s">
        <v>227</v>
      </c>
      <c r="Y55" s="505">
        <f>M63</f>
        <v>500</v>
      </c>
    </row>
    <row r="56" spans="1:25" ht="16" customHeight="1" thickTop="1" thickBot="1">
      <c r="A56" s="570"/>
      <c r="B56" s="575"/>
      <c r="C56" s="594"/>
      <c r="D56" s="578"/>
      <c r="E56" s="139" t="s">
        <v>58</v>
      </c>
      <c r="F56" s="2"/>
      <c r="G56" s="145">
        <f>K56</f>
        <v>720</v>
      </c>
      <c r="H56" s="21"/>
      <c r="I56" s="179" t="s">
        <v>18</v>
      </c>
      <c r="J56" s="21"/>
      <c r="K56" s="190">
        <v>720</v>
      </c>
      <c r="L56" s="21"/>
      <c r="M56" s="342" t="s">
        <v>18</v>
      </c>
      <c r="N56" s="21"/>
      <c r="O56" s="179" t="s">
        <v>18</v>
      </c>
      <c r="P56" s="22"/>
      <c r="Q56" s="160" t="s">
        <v>18</v>
      </c>
      <c r="R56" s="21"/>
      <c r="S56" s="341" t="s">
        <v>18</v>
      </c>
      <c r="T56" s="280"/>
      <c r="U56" s="69"/>
      <c r="V56" s="488"/>
      <c r="W56" s="489"/>
      <c r="X56" s="489" t="s">
        <v>230</v>
      </c>
      <c r="Y56" s="505">
        <f>O63</f>
        <v>800</v>
      </c>
    </row>
    <row r="57" spans="1:25" ht="16" customHeight="1" thickTop="1" thickBot="1">
      <c r="A57" s="570"/>
      <c r="B57" s="575"/>
      <c r="C57" s="594"/>
      <c r="D57" s="588" t="s">
        <v>59</v>
      </c>
      <c r="E57" s="584"/>
      <c r="F57" s="2"/>
      <c r="G57" s="370">
        <f>M57+O57+Q57</f>
        <v>910</v>
      </c>
      <c r="H57" s="21"/>
      <c r="I57" s="179" t="s">
        <v>18</v>
      </c>
      <c r="J57" s="21"/>
      <c r="K57" s="342" t="s">
        <v>18</v>
      </c>
      <c r="L57" s="21"/>
      <c r="M57" s="350">
        <f>ROUND(M40*10/100*2/3,0)</f>
        <v>187</v>
      </c>
      <c r="N57" s="21"/>
      <c r="O57" s="169">
        <f>ROUND(O40*10/100*2/3,0)</f>
        <v>373</v>
      </c>
      <c r="P57" s="24" t="s">
        <v>60</v>
      </c>
      <c r="Q57" s="161">
        <f>ROUND(Q40*10/100*2/3,0)</f>
        <v>350</v>
      </c>
      <c r="R57" s="21"/>
      <c r="S57" s="344" t="s">
        <v>18</v>
      </c>
      <c r="T57" s="280"/>
      <c r="U57" s="69"/>
      <c r="V57" s="488"/>
      <c r="W57" s="489"/>
      <c r="X57" s="506" t="s">
        <v>232</v>
      </c>
      <c r="Y57" s="507">
        <f>Y50-Y54-Y55-Y56</f>
        <v>12587</v>
      </c>
    </row>
    <row r="58" spans="1:25" ht="16" customHeight="1" thickTop="1" thickBot="1">
      <c r="A58" s="570"/>
      <c r="B58" s="575"/>
      <c r="C58" s="594"/>
      <c r="D58" s="588" t="s">
        <v>61</v>
      </c>
      <c r="E58" s="584"/>
      <c r="F58" s="1"/>
      <c r="G58" s="371">
        <f>K58</f>
        <v>8</v>
      </c>
      <c r="H58" s="21"/>
      <c r="I58" s="179" t="s">
        <v>18</v>
      </c>
      <c r="J58" s="21"/>
      <c r="K58" s="351">
        <v>8</v>
      </c>
      <c r="L58" s="21"/>
      <c r="M58" s="340" t="s">
        <v>18</v>
      </c>
      <c r="N58" s="21"/>
      <c r="O58" s="340" t="s">
        <v>18</v>
      </c>
      <c r="P58" s="21"/>
      <c r="Q58" s="179" t="s">
        <v>18</v>
      </c>
      <c r="R58" s="21"/>
      <c r="S58" s="344" t="s">
        <v>18</v>
      </c>
      <c r="T58" s="280"/>
      <c r="U58" s="69"/>
      <c r="V58" s="493"/>
      <c r="W58" s="494"/>
      <c r="X58" s="494"/>
      <c r="Y58" s="508"/>
    </row>
    <row r="59" spans="1:25" ht="16" customHeight="1" thickTop="1" thickBot="1">
      <c r="A59" s="570"/>
      <c r="B59" s="575"/>
      <c r="C59" s="564" t="s">
        <v>62</v>
      </c>
      <c r="D59" s="561"/>
      <c r="E59" s="594"/>
      <c r="F59" s="3" t="s">
        <v>63</v>
      </c>
      <c r="G59" s="142">
        <f>SUM(G49:G58)</f>
        <v>2713</v>
      </c>
      <c r="H59" s="21"/>
      <c r="I59" s="163">
        <f>SUM(I49:I58)</f>
        <v>101</v>
      </c>
      <c r="J59" s="21"/>
      <c r="K59" s="181">
        <f>SUM(K49:K58)</f>
        <v>1101</v>
      </c>
      <c r="L59" s="21"/>
      <c r="M59" s="181">
        <f>SUM(M49:M58)</f>
        <v>263</v>
      </c>
      <c r="N59" s="21"/>
      <c r="O59" s="181">
        <f>SUM(O49:O58)</f>
        <v>389</v>
      </c>
      <c r="P59" s="21"/>
      <c r="Q59" s="181">
        <f>SUM(Q49:Q58)</f>
        <v>846</v>
      </c>
      <c r="R59" s="21"/>
      <c r="S59" s="347">
        <f>SUM(S49:S58)</f>
        <v>13</v>
      </c>
      <c r="T59" s="280"/>
      <c r="U59" s="69"/>
    </row>
    <row r="60" spans="1:25" ht="16" customHeight="1" thickTop="1">
      <c r="A60" s="570"/>
      <c r="B60" s="575"/>
      <c r="C60" s="144"/>
      <c r="D60" s="588" t="s">
        <v>64</v>
      </c>
      <c r="E60" s="584"/>
      <c r="F60" s="2"/>
      <c r="G60" s="145">
        <f>K60</f>
        <v>720</v>
      </c>
      <c r="H60" s="21"/>
      <c r="I60" s="179" t="s">
        <v>18</v>
      </c>
      <c r="J60" s="21"/>
      <c r="K60" s="190">
        <v>720</v>
      </c>
      <c r="L60" s="21"/>
      <c r="M60" s="179" t="s">
        <v>18</v>
      </c>
      <c r="N60" s="21"/>
      <c r="O60" s="179" t="s">
        <v>18</v>
      </c>
      <c r="P60" s="21"/>
      <c r="Q60" s="340" t="s">
        <v>18</v>
      </c>
      <c r="R60" s="21"/>
      <c r="S60" s="341" t="s">
        <v>18</v>
      </c>
      <c r="T60" s="280"/>
      <c r="U60" s="69"/>
    </row>
    <row r="61" spans="1:25" ht="16" customHeight="1">
      <c r="A61" s="570"/>
      <c r="B61" s="575"/>
      <c r="C61" s="137"/>
      <c r="D61" s="588" t="s">
        <v>65</v>
      </c>
      <c r="E61" s="584"/>
      <c r="F61" s="8"/>
      <c r="G61" s="139">
        <f>Q61</f>
        <v>20</v>
      </c>
      <c r="H61" s="283"/>
      <c r="I61" s="179" t="s">
        <v>18</v>
      </c>
      <c r="J61" s="21"/>
      <c r="K61" s="340" t="s">
        <v>18</v>
      </c>
      <c r="L61" s="21"/>
      <c r="M61" s="340" t="s">
        <v>18</v>
      </c>
      <c r="N61" s="21"/>
      <c r="O61" s="340" t="s">
        <v>18</v>
      </c>
      <c r="P61" s="21"/>
      <c r="Q61" s="188">
        <f>1000*20/1000</f>
        <v>20</v>
      </c>
      <c r="R61" s="21"/>
      <c r="S61" s="344" t="s">
        <v>18</v>
      </c>
      <c r="T61" s="280"/>
      <c r="U61" s="69"/>
    </row>
    <row r="62" spans="1:25" ht="16" customHeight="1" thickBot="1">
      <c r="A62" s="570"/>
      <c r="B62" s="575"/>
      <c r="C62" s="598" t="s">
        <v>66</v>
      </c>
      <c r="D62" s="580"/>
      <c r="E62" s="581"/>
      <c r="F62" s="6"/>
      <c r="G62" s="371">
        <f>G60+G61</f>
        <v>740</v>
      </c>
      <c r="H62" s="21"/>
      <c r="I62" s="163">
        <f>SUM(I60:I61)</f>
        <v>0</v>
      </c>
      <c r="J62" s="25"/>
      <c r="K62" s="200">
        <f>SUM(K60:K61)</f>
        <v>720</v>
      </c>
      <c r="L62" s="25"/>
      <c r="M62" s="204">
        <f>SUM(M60:M61)</f>
        <v>0</v>
      </c>
      <c r="N62" s="25"/>
      <c r="O62" s="352">
        <f>SUM(O60:O61)</f>
        <v>0</v>
      </c>
      <c r="P62" s="25"/>
      <c r="Q62" s="193">
        <f>SUM(Q60:Q61)</f>
        <v>20</v>
      </c>
      <c r="R62" s="25"/>
      <c r="S62" s="347">
        <f>SUM(S60:S61)</f>
        <v>0</v>
      </c>
      <c r="T62" s="280"/>
      <c r="U62" s="69"/>
    </row>
    <row r="63" spans="1:25" ht="16" customHeight="1" thickTop="1" thickBot="1">
      <c r="A63" s="570"/>
      <c r="B63" s="575"/>
      <c r="C63" s="588" t="s">
        <v>67</v>
      </c>
      <c r="D63" s="583"/>
      <c r="E63" s="584"/>
      <c r="F63" s="9" t="s">
        <v>68</v>
      </c>
      <c r="G63" s="142">
        <f>K63+M63+O63+Q63</f>
        <v>14387</v>
      </c>
      <c r="H63" s="25"/>
      <c r="I63" s="179" t="s">
        <v>18</v>
      </c>
      <c r="J63" s="21"/>
      <c r="K63" s="350">
        <v>500</v>
      </c>
      <c r="L63" s="21"/>
      <c r="M63" s="351">
        <v>500</v>
      </c>
      <c r="N63" s="21"/>
      <c r="O63" s="350">
        <v>800</v>
      </c>
      <c r="P63" s="21"/>
      <c r="Q63" s="181">
        <f>(G46-G59-G62)-K63-M63-O63</f>
        <v>12587</v>
      </c>
      <c r="R63" s="21"/>
      <c r="S63" s="344" t="s">
        <v>18</v>
      </c>
      <c r="T63" s="280"/>
      <c r="U63" s="69"/>
    </row>
    <row r="64" spans="1:25" ht="16" customHeight="1" thickTop="1">
      <c r="A64" s="570"/>
      <c r="B64" s="579" t="s">
        <v>69</v>
      </c>
      <c r="C64" s="580"/>
      <c r="D64" s="580"/>
      <c r="E64" s="581"/>
      <c r="F64" s="4"/>
      <c r="G64" s="145">
        <f>G59+G62+G63</f>
        <v>17840</v>
      </c>
      <c r="H64" s="21"/>
      <c r="I64" s="188">
        <f>I59+I62</f>
        <v>101</v>
      </c>
      <c r="J64" s="21"/>
      <c r="K64" s="181">
        <f>K59+K62+K63</f>
        <v>2321</v>
      </c>
      <c r="L64" s="21"/>
      <c r="M64" s="181">
        <f>M59+M62+M63</f>
        <v>763</v>
      </c>
      <c r="N64" s="21"/>
      <c r="O64" s="181">
        <f>O59+O62+O63</f>
        <v>1189</v>
      </c>
      <c r="P64" s="21"/>
      <c r="Q64" s="181">
        <f>Q59+Q62+Q63</f>
        <v>13453</v>
      </c>
      <c r="R64" s="21"/>
      <c r="S64" s="347">
        <f>S59+S62</f>
        <v>13</v>
      </c>
      <c r="T64" s="280"/>
      <c r="U64" s="69"/>
    </row>
    <row r="65" spans="1:21" ht="16" customHeight="1" thickBot="1">
      <c r="A65" s="570"/>
      <c r="B65" s="582" t="s">
        <v>70</v>
      </c>
      <c r="C65" s="583"/>
      <c r="D65" s="583"/>
      <c r="E65" s="584"/>
      <c r="F65" s="2"/>
      <c r="G65" s="139" t="s">
        <v>18</v>
      </c>
      <c r="H65" s="21"/>
      <c r="I65" s="188">
        <f>I48-I64</f>
        <v>75</v>
      </c>
      <c r="J65" s="21"/>
      <c r="K65" s="181">
        <f>K48-K64</f>
        <v>626</v>
      </c>
      <c r="L65" s="21"/>
      <c r="M65" s="181">
        <f>M48-M64</f>
        <v>2280</v>
      </c>
      <c r="N65" s="21"/>
      <c r="O65" s="181">
        <f>O48-O64</f>
        <v>4713</v>
      </c>
      <c r="P65" s="21"/>
      <c r="Q65" s="340" t="s">
        <v>18</v>
      </c>
      <c r="R65" s="22"/>
      <c r="S65" s="353" t="s">
        <v>18</v>
      </c>
      <c r="T65" s="280"/>
      <c r="U65" s="69"/>
    </row>
    <row r="66" spans="1:21" ht="16" customHeight="1" thickTop="1" thickBot="1">
      <c r="A66" s="571"/>
      <c r="B66" s="582" t="s">
        <v>71</v>
      </c>
      <c r="C66" s="583"/>
      <c r="D66" s="583"/>
      <c r="E66" s="584"/>
      <c r="F66" s="2"/>
      <c r="G66" s="139" t="s">
        <v>18</v>
      </c>
      <c r="H66" s="21"/>
      <c r="I66" s="179" t="s">
        <v>18</v>
      </c>
      <c r="J66" s="21"/>
      <c r="K66" s="179" t="s">
        <v>18</v>
      </c>
      <c r="L66" s="22"/>
      <c r="M66" s="160" t="s">
        <v>18</v>
      </c>
      <c r="N66" s="21"/>
      <c r="O66" s="354" t="s">
        <v>18</v>
      </c>
      <c r="P66" s="21"/>
      <c r="Q66" s="282" t="s">
        <v>18</v>
      </c>
      <c r="R66" s="24" t="s">
        <v>72</v>
      </c>
      <c r="S66" s="372">
        <f>Q68</f>
        <v>28</v>
      </c>
      <c r="T66" s="280"/>
      <c r="U66" s="69"/>
    </row>
    <row r="67" spans="1:21" ht="16" customHeight="1" thickTop="1" thickBot="1">
      <c r="A67" s="589" t="s">
        <v>73</v>
      </c>
      <c r="B67" s="590"/>
      <c r="C67" s="590"/>
      <c r="D67" s="590"/>
      <c r="E67" s="591"/>
      <c r="F67" s="7"/>
      <c r="G67" s="338" t="s">
        <v>18</v>
      </c>
      <c r="H67" s="26"/>
      <c r="I67" s="355">
        <f>SUM(I64:I66)</f>
        <v>176</v>
      </c>
      <c r="J67" s="26"/>
      <c r="K67" s="356">
        <f>SUM(K64:K66)</f>
        <v>2947</v>
      </c>
      <c r="L67" s="27" t="s">
        <v>74</v>
      </c>
      <c r="M67" s="357">
        <f>SUM(M64:M66)</f>
        <v>3043</v>
      </c>
      <c r="N67" s="26"/>
      <c r="O67" s="358">
        <f>SUM(O64:O66)</f>
        <v>5902</v>
      </c>
      <c r="P67" s="26"/>
      <c r="Q67" s="358">
        <f>SUM(Q64:Q66)</f>
        <v>13453</v>
      </c>
      <c r="R67" s="26"/>
      <c r="S67" s="359">
        <f>SUM(S64:S66)</f>
        <v>41</v>
      </c>
      <c r="T67" s="280"/>
      <c r="U67" s="69"/>
    </row>
    <row r="68" spans="1:21" ht="16" customHeight="1" thickTop="1">
      <c r="A68" s="599" t="s">
        <v>75</v>
      </c>
      <c r="B68" s="580"/>
      <c r="C68" s="580"/>
      <c r="D68" s="580"/>
      <c r="E68" s="581"/>
      <c r="F68" s="2"/>
      <c r="G68" s="139" t="s">
        <v>18</v>
      </c>
      <c r="H68" s="21"/>
      <c r="I68" s="179" t="s">
        <v>18</v>
      </c>
      <c r="J68" s="22"/>
      <c r="K68" s="160" t="s">
        <v>18</v>
      </c>
      <c r="L68" s="22"/>
      <c r="M68" s="160" t="s">
        <v>18</v>
      </c>
      <c r="N68" s="21"/>
      <c r="O68" s="160" t="s">
        <v>18</v>
      </c>
      <c r="P68" s="21"/>
      <c r="Q68" s="181">
        <f>Q67-Q48</f>
        <v>28</v>
      </c>
      <c r="R68" s="21"/>
      <c r="S68" s="344" t="s">
        <v>18</v>
      </c>
      <c r="T68" s="280"/>
      <c r="U68" s="69"/>
    </row>
    <row r="69" spans="1:21" ht="16" customHeight="1" thickBot="1">
      <c r="A69" s="595" t="s">
        <v>76</v>
      </c>
      <c r="B69" s="596"/>
      <c r="C69" s="596"/>
      <c r="D69" s="596"/>
      <c r="E69" s="597"/>
      <c r="F69" s="10"/>
      <c r="G69" s="360" t="s">
        <v>18</v>
      </c>
      <c r="H69" s="30"/>
      <c r="I69" s="361">
        <f>I65</f>
        <v>75</v>
      </c>
      <c r="J69" s="28"/>
      <c r="K69" s="362">
        <f>I69+K65</f>
        <v>701</v>
      </c>
      <c r="L69" s="29"/>
      <c r="M69" s="363">
        <f>K69+M65</f>
        <v>2981</v>
      </c>
      <c r="N69" s="30"/>
      <c r="O69" s="362">
        <f>M69+O65</f>
        <v>7694</v>
      </c>
      <c r="P69" s="30"/>
      <c r="Q69" s="512">
        <f>O69-Q47</f>
        <v>0</v>
      </c>
      <c r="R69" s="30"/>
      <c r="S69" s="364" t="s">
        <v>18</v>
      </c>
      <c r="T69" s="280"/>
      <c r="U69" s="69"/>
    </row>
    <row r="70" spans="1:21" ht="16" customHeight="1">
      <c r="A70" s="285"/>
      <c r="B70" s="285"/>
      <c r="C70" s="285"/>
      <c r="D70" s="285"/>
      <c r="E70" s="285"/>
      <c r="F70" s="365"/>
      <c r="G70" s="285"/>
      <c r="H70" s="365"/>
      <c r="I70" s="285"/>
      <c r="J70" s="365"/>
      <c r="K70" s="285"/>
      <c r="L70" s="365"/>
      <c r="M70" s="285"/>
      <c r="N70" s="365"/>
      <c r="O70" s="285"/>
      <c r="P70" s="365"/>
      <c r="Q70" s="285"/>
      <c r="R70" s="365"/>
      <c r="S70" s="285"/>
      <c r="T70" s="285"/>
      <c r="U70" s="69"/>
    </row>
    <row r="71" spans="1:21" ht="16" customHeight="1">
      <c r="A71" s="69"/>
      <c r="B71" s="69"/>
      <c r="C71" s="69"/>
      <c r="D71" s="69"/>
      <c r="E71" s="69"/>
      <c r="G71" s="69"/>
      <c r="H71" s="221"/>
      <c r="I71" s="222" t="s">
        <v>77</v>
      </c>
      <c r="K71" s="69"/>
      <c r="M71" s="69"/>
      <c r="O71" s="69"/>
      <c r="Q71" s="69"/>
      <c r="S71" s="69"/>
      <c r="T71" s="69"/>
      <c r="U71" s="69"/>
    </row>
    <row r="72" spans="1:21" ht="16" customHeight="1">
      <c r="A72" s="69"/>
      <c r="B72" s="69"/>
      <c r="C72" s="69"/>
      <c r="D72" s="69"/>
      <c r="E72" s="69"/>
      <c r="G72" s="69"/>
      <c r="H72" s="221"/>
      <c r="I72" s="224" t="s">
        <v>78</v>
      </c>
      <c r="K72" s="69"/>
      <c r="M72" s="69"/>
      <c r="O72" s="69"/>
      <c r="Q72" s="69"/>
      <c r="S72" s="69"/>
      <c r="T72" s="69"/>
      <c r="U72" s="69"/>
    </row>
    <row r="73" spans="1:21" ht="16" customHeight="1">
      <c r="A73" s="69"/>
      <c r="B73" s="69"/>
      <c r="C73" s="69"/>
      <c r="D73" s="69"/>
      <c r="E73" s="69"/>
      <c r="G73" s="69"/>
      <c r="H73" s="286" t="s">
        <v>79</v>
      </c>
      <c r="I73" s="287" t="s">
        <v>102</v>
      </c>
      <c r="J73" s="286" t="s">
        <v>79</v>
      </c>
      <c r="K73" s="287" t="s">
        <v>103</v>
      </c>
      <c r="L73" s="286" t="s">
        <v>79</v>
      </c>
      <c r="M73" s="287" t="s">
        <v>104</v>
      </c>
      <c r="N73" s="286" t="s">
        <v>79</v>
      </c>
      <c r="O73" s="287" t="s">
        <v>105</v>
      </c>
      <c r="P73" s="286" t="s">
        <v>79</v>
      </c>
      <c r="Q73" s="287" t="s">
        <v>106</v>
      </c>
      <c r="R73" s="288" t="s">
        <v>79</v>
      </c>
      <c r="S73" s="289" t="s">
        <v>107</v>
      </c>
      <c r="T73" s="69"/>
      <c r="U73" s="69"/>
    </row>
    <row r="74" spans="1:21" ht="16" customHeight="1">
      <c r="A74" s="69"/>
      <c r="B74" s="69"/>
      <c r="C74" s="69"/>
      <c r="D74" s="69"/>
      <c r="E74" s="69"/>
      <c r="G74" s="69"/>
      <c r="H74" s="55">
        <v>1</v>
      </c>
      <c r="I74" s="290" t="s">
        <v>86</v>
      </c>
      <c r="J74" s="55">
        <v>1</v>
      </c>
      <c r="K74" s="290" t="s">
        <v>88</v>
      </c>
      <c r="L74" s="55">
        <v>1</v>
      </c>
      <c r="M74" s="290" t="s">
        <v>88</v>
      </c>
      <c r="N74" s="55">
        <v>1</v>
      </c>
      <c r="O74" s="290" t="s">
        <v>88</v>
      </c>
      <c r="P74" s="55">
        <v>1</v>
      </c>
      <c r="Q74" s="291" t="s">
        <v>88</v>
      </c>
      <c r="R74" s="55">
        <v>1</v>
      </c>
      <c r="S74" s="291" t="s">
        <v>89</v>
      </c>
      <c r="T74" s="69"/>
      <c r="U74" s="69"/>
    </row>
    <row r="75" spans="1:21" ht="16" customHeight="1">
      <c r="A75" s="69"/>
      <c r="B75" s="69"/>
      <c r="C75" s="69"/>
      <c r="D75" s="69"/>
      <c r="E75" s="69"/>
      <c r="G75" s="69"/>
      <c r="H75" s="59"/>
      <c r="I75" s="292">
        <f>I49</f>
        <v>96</v>
      </c>
      <c r="J75" s="59"/>
      <c r="K75" s="292">
        <f>K51</f>
        <v>216</v>
      </c>
      <c r="L75" s="59"/>
      <c r="M75" s="292">
        <f>M51</f>
        <v>16</v>
      </c>
      <c r="N75" s="59"/>
      <c r="O75" s="292">
        <f>O51</f>
        <v>16</v>
      </c>
      <c r="P75" s="59"/>
      <c r="Q75" s="293">
        <f>Q51</f>
        <v>16</v>
      </c>
      <c r="R75" s="59"/>
      <c r="S75" s="293">
        <f>S52</f>
        <v>13</v>
      </c>
      <c r="T75" s="69"/>
      <c r="U75" s="69"/>
    </row>
    <row r="76" spans="1:21" ht="16" customHeight="1">
      <c r="A76" s="69"/>
      <c r="B76" s="69"/>
      <c r="C76" s="69"/>
      <c r="D76" s="69"/>
      <c r="E76" s="69"/>
      <c r="G76" s="69"/>
      <c r="H76" s="55">
        <v>2</v>
      </c>
      <c r="I76" s="294" t="s">
        <v>90</v>
      </c>
      <c r="J76" s="55">
        <v>2</v>
      </c>
      <c r="K76" s="294" t="s">
        <v>89</v>
      </c>
      <c r="L76" s="55">
        <v>2</v>
      </c>
      <c r="M76" s="294" t="s">
        <v>28</v>
      </c>
      <c r="N76" s="55">
        <v>2</v>
      </c>
      <c r="O76" s="290" t="s">
        <v>108</v>
      </c>
      <c r="P76" s="55">
        <v>2</v>
      </c>
      <c r="Q76" s="295" t="s">
        <v>109</v>
      </c>
      <c r="R76" s="55">
        <v>2</v>
      </c>
      <c r="S76" s="295" t="s">
        <v>110</v>
      </c>
      <c r="T76" s="69"/>
      <c r="U76" s="69"/>
    </row>
    <row r="77" spans="1:21" ht="16" customHeight="1">
      <c r="A77" s="69"/>
      <c r="B77" s="69"/>
      <c r="C77" s="69"/>
      <c r="D77" s="69"/>
      <c r="E77" s="69"/>
      <c r="G77" s="69"/>
      <c r="H77" s="57"/>
      <c r="I77" s="296">
        <f>I50</f>
        <v>5</v>
      </c>
      <c r="J77" s="57"/>
      <c r="K77" s="296">
        <f>K52</f>
        <v>37</v>
      </c>
      <c r="L77" s="57"/>
      <c r="M77" s="296">
        <f>M53</f>
        <v>60</v>
      </c>
      <c r="N77" s="57"/>
      <c r="O77" s="296">
        <f>O57</f>
        <v>373</v>
      </c>
      <c r="P77" s="57"/>
      <c r="Q77" s="297">
        <f>Q55</f>
        <v>480</v>
      </c>
      <c r="R77" s="57"/>
      <c r="S77" s="297">
        <f>S66</f>
        <v>28</v>
      </c>
      <c r="T77" s="69"/>
      <c r="U77" s="69"/>
    </row>
    <row r="78" spans="1:21" ht="16" customHeight="1">
      <c r="A78" s="69"/>
      <c r="B78" s="69"/>
      <c r="C78" s="69"/>
      <c r="D78" s="69"/>
      <c r="E78" s="69"/>
      <c r="G78" s="69"/>
      <c r="H78" s="59">
        <v>3</v>
      </c>
      <c r="I78" s="298" t="s">
        <v>111</v>
      </c>
      <c r="J78" s="61">
        <v>3</v>
      </c>
      <c r="K78" s="299" t="s">
        <v>95</v>
      </c>
      <c r="L78" s="61">
        <v>3</v>
      </c>
      <c r="M78" s="299" t="s">
        <v>108</v>
      </c>
      <c r="N78" s="61">
        <v>3</v>
      </c>
      <c r="O78" s="300" t="s">
        <v>112</v>
      </c>
      <c r="P78" s="59">
        <v>3</v>
      </c>
      <c r="Q78" s="76" t="s">
        <v>108</v>
      </c>
      <c r="R78" s="59">
        <v>3</v>
      </c>
      <c r="S78" s="295" t="s">
        <v>73</v>
      </c>
      <c r="T78" s="69"/>
      <c r="U78" s="69"/>
    </row>
    <row r="79" spans="1:21" ht="16" customHeight="1">
      <c r="A79" s="69"/>
      <c r="B79" s="69"/>
      <c r="C79" s="69"/>
      <c r="D79" s="69"/>
      <c r="E79" s="69"/>
      <c r="G79" s="69"/>
      <c r="H79" s="57"/>
      <c r="I79" s="296">
        <f>I65</f>
        <v>75</v>
      </c>
      <c r="J79" s="61"/>
      <c r="K79" s="301">
        <f>K54</f>
        <v>120</v>
      </c>
      <c r="L79" s="61"/>
      <c r="M79" s="301">
        <f>M57</f>
        <v>187</v>
      </c>
      <c r="N79" s="61"/>
      <c r="O79" s="301">
        <f>O63</f>
        <v>800</v>
      </c>
      <c r="P79" s="59"/>
      <c r="Q79" s="293">
        <f>Q57</f>
        <v>350</v>
      </c>
      <c r="R79" s="57"/>
      <c r="S79" s="297">
        <f>S67</f>
        <v>41</v>
      </c>
      <c r="T79" s="69"/>
      <c r="U79" s="69"/>
    </row>
    <row r="80" spans="1:21" ht="16" customHeight="1">
      <c r="A80" s="69"/>
      <c r="B80" s="69"/>
      <c r="C80" s="69"/>
      <c r="D80" s="69"/>
      <c r="E80" s="69"/>
      <c r="G80" s="69"/>
      <c r="H80" s="55">
        <v>4</v>
      </c>
      <c r="I80" s="302" t="s">
        <v>73</v>
      </c>
      <c r="J80" s="63">
        <v>4</v>
      </c>
      <c r="K80" s="303" t="s">
        <v>98</v>
      </c>
      <c r="L80" s="63">
        <v>4</v>
      </c>
      <c r="M80" s="303" t="s">
        <v>112</v>
      </c>
      <c r="N80" s="55">
        <v>4</v>
      </c>
      <c r="O80" s="290" t="s">
        <v>111</v>
      </c>
      <c r="P80" s="55">
        <v>4</v>
      </c>
      <c r="Q80" s="295" t="s">
        <v>113</v>
      </c>
      <c r="R80" s="68"/>
      <c r="S80" s="70"/>
      <c r="T80" s="69"/>
      <c r="U80" s="69"/>
    </row>
    <row r="81" spans="1:21" ht="16" customHeight="1">
      <c r="A81" s="69"/>
      <c r="B81" s="69"/>
      <c r="C81" s="69"/>
      <c r="D81" s="69"/>
      <c r="E81" s="69"/>
      <c r="G81" s="69"/>
      <c r="H81" s="57"/>
      <c r="I81" s="304">
        <f>I67</f>
        <v>176</v>
      </c>
      <c r="J81" s="64"/>
      <c r="K81" s="305">
        <f>K56</f>
        <v>720</v>
      </c>
      <c r="L81" s="64"/>
      <c r="M81" s="305">
        <f>M63</f>
        <v>500</v>
      </c>
      <c r="N81" s="57"/>
      <c r="O81" s="296">
        <f>O65</f>
        <v>4713</v>
      </c>
      <c r="P81" s="57"/>
      <c r="Q81" s="297">
        <f>Q61</f>
        <v>20</v>
      </c>
      <c r="R81" s="68"/>
      <c r="S81" s="70"/>
      <c r="T81" s="69"/>
      <c r="U81" s="69"/>
    </row>
    <row r="82" spans="1:21" ht="16" customHeight="1">
      <c r="A82" s="69"/>
      <c r="B82" s="69"/>
      <c r="C82" s="69"/>
      <c r="D82" s="69"/>
      <c r="E82" s="69"/>
      <c r="G82" s="69"/>
      <c r="H82" s="59">
        <v>5</v>
      </c>
      <c r="I82" s="302" t="s">
        <v>114</v>
      </c>
      <c r="J82" s="61">
        <v>5</v>
      </c>
      <c r="K82" s="299" t="s">
        <v>39</v>
      </c>
      <c r="L82" s="59">
        <v>5</v>
      </c>
      <c r="M82" s="76" t="s">
        <v>111</v>
      </c>
      <c r="N82" s="55">
        <v>5</v>
      </c>
      <c r="O82" s="295" t="s">
        <v>73</v>
      </c>
      <c r="P82" s="59">
        <v>5</v>
      </c>
      <c r="Q82" s="76" t="s">
        <v>112</v>
      </c>
      <c r="R82" s="68"/>
      <c r="S82" s="70"/>
      <c r="T82" s="69"/>
      <c r="U82" s="69"/>
    </row>
    <row r="83" spans="1:21" ht="16" customHeight="1">
      <c r="A83" s="69"/>
      <c r="B83" s="69"/>
      <c r="C83" s="69"/>
      <c r="D83" s="69"/>
      <c r="E83" s="69"/>
      <c r="G83" s="69"/>
      <c r="H83" s="57"/>
      <c r="I83" s="304">
        <f>I69</f>
        <v>75</v>
      </c>
      <c r="J83" s="61"/>
      <c r="K83" s="301">
        <f>K58</f>
        <v>8</v>
      </c>
      <c r="L83" s="57"/>
      <c r="M83" s="292">
        <f>M65</f>
        <v>2280</v>
      </c>
      <c r="N83" s="57"/>
      <c r="O83" s="297">
        <f>O67</f>
        <v>5902</v>
      </c>
      <c r="P83" s="57"/>
      <c r="Q83" s="293">
        <f>Q63</f>
        <v>12587</v>
      </c>
      <c r="R83" s="68"/>
      <c r="S83" s="70"/>
      <c r="T83" s="69"/>
      <c r="U83" s="69"/>
    </row>
    <row r="84" spans="1:21" ht="16" customHeight="1">
      <c r="A84" s="69"/>
      <c r="B84" s="69"/>
      <c r="C84" s="69"/>
      <c r="D84" s="69"/>
      <c r="E84" s="69"/>
      <c r="G84" s="69"/>
      <c r="H84" s="68"/>
      <c r="I84" s="70"/>
      <c r="J84" s="63">
        <v>6</v>
      </c>
      <c r="K84" s="306" t="s">
        <v>115</v>
      </c>
      <c r="L84" s="55">
        <v>6</v>
      </c>
      <c r="M84" s="307" t="s">
        <v>73</v>
      </c>
      <c r="N84" s="55">
        <v>6</v>
      </c>
      <c r="O84" s="295" t="s">
        <v>114</v>
      </c>
      <c r="P84" s="55">
        <v>6</v>
      </c>
      <c r="Q84" s="295" t="s">
        <v>73</v>
      </c>
      <c r="R84" s="68"/>
      <c r="S84" s="70"/>
      <c r="T84" s="69"/>
      <c r="U84" s="69"/>
    </row>
    <row r="85" spans="1:21" ht="16" customHeight="1">
      <c r="A85" s="69"/>
      <c r="B85" s="69"/>
      <c r="C85" s="69"/>
      <c r="D85" s="69"/>
      <c r="E85" s="69"/>
      <c r="G85" s="69"/>
      <c r="H85" s="68"/>
      <c r="I85" s="70"/>
      <c r="J85" s="64"/>
      <c r="K85" s="308">
        <f>K60</f>
        <v>720</v>
      </c>
      <c r="L85" s="57"/>
      <c r="M85" s="297">
        <f>M67</f>
        <v>3043</v>
      </c>
      <c r="N85" s="57"/>
      <c r="O85" s="297">
        <f>O69</f>
        <v>7694</v>
      </c>
      <c r="P85" s="57"/>
      <c r="Q85" s="297">
        <f>Q67</f>
        <v>13453</v>
      </c>
      <c r="R85" s="68"/>
      <c r="S85" s="70"/>
      <c r="T85" s="69"/>
      <c r="U85" s="69"/>
    </row>
    <row r="86" spans="1:21" ht="16" customHeight="1">
      <c r="A86" s="69"/>
      <c r="B86" s="69"/>
      <c r="C86" s="69"/>
      <c r="D86" s="69"/>
      <c r="E86" s="69"/>
      <c r="G86" s="69"/>
      <c r="H86" s="68"/>
      <c r="I86" s="70"/>
      <c r="J86" s="61">
        <v>7</v>
      </c>
      <c r="K86" s="309" t="s">
        <v>112</v>
      </c>
      <c r="L86" s="55">
        <v>7</v>
      </c>
      <c r="M86" s="307" t="s">
        <v>114</v>
      </c>
      <c r="N86" s="68"/>
      <c r="O86" s="70"/>
      <c r="P86" s="59">
        <v>7</v>
      </c>
      <c r="Q86" s="310" t="s">
        <v>116</v>
      </c>
      <c r="R86" s="68"/>
      <c r="S86" s="70"/>
      <c r="T86" s="69"/>
      <c r="U86" s="69"/>
    </row>
    <row r="87" spans="1:21" ht="16" customHeight="1">
      <c r="A87" s="69"/>
      <c r="B87" s="69"/>
      <c r="C87" s="69"/>
      <c r="D87" s="69"/>
      <c r="E87" s="69"/>
      <c r="G87" s="69"/>
      <c r="H87" s="68"/>
      <c r="I87" s="70"/>
      <c r="J87" s="61"/>
      <c r="K87" s="311">
        <f>K63</f>
        <v>500</v>
      </c>
      <c r="L87" s="57"/>
      <c r="M87" s="297">
        <f>M69</f>
        <v>2981</v>
      </c>
      <c r="N87" s="68"/>
      <c r="O87" s="70"/>
      <c r="P87" s="57"/>
      <c r="Q87" s="293">
        <f>Q68</f>
        <v>28</v>
      </c>
      <c r="R87" s="68"/>
      <c r="S87" s="70"/>
      <c r="T87" s="69"/>
      <c r="U87" s="69"/>
    </row>
    <row r="88" spans="1:21" ht="16" customHeight="1">
      <c r="A88" s="69"/>
      <c r="B88" s="69"/>
      <c r="C88" s="69"/>
      <c r="D88" s="69"/>
      <c r="E88" s="69"/>
      <c r="G88" s="69"/>
      <c r="H88" s="68"/>
      <c r="I88" s="70"/>
      <c r="J88" s="55">
        <v>8</v>
      </c>
      <c r="K88" s="295" t="s">
        <v>111</v>
      </c>
      <c r="L88" s="66"/>
      <c r="M88" s="312"/>
      <c r="N88" s="68"/>
      <c r="O88" s="70"/>
      <c r="P88" s="61">
        <v>8</v>
      </c>
      <c r="Q88" s="306" t="s">
        <v>114</v>
      </c>
      <c r="R88" s="68"/>
      <c r="S88" s="70"/>
      <c r="T88" s="69"/>
      <c r="U88" s="69"/>
    </row>
    <row r="89" spans="1:21" ht="16" customHeight="1">
      <c r="A89" s="69"/>
      <c r="B89" s="69"/>
      <c r="C89" s="69"/>
      <c r="D89" s="69"/>
      <c r="E89" s="69"/>
      <c r="G89" s="69"/>
      <c r="H89" s="68"/>
      <c r="I89" s="70"/>
      <c r="J89" s="57"/>
      <c r="K89" s="297">
        <f>K65</f>
        <v>626</v>
      </c>
      <c r="L89" s="66"/>
      <c r="M89" s="313"/>
      <c r="N89" s="68"/>
      <c r="O89" s="70"/>
      <c r="P89" s="64"/>
      <c r="Q89" s="308">
        <f>Q69</f>
        <v>0</v>
      </c>
      <c r="R89" s="68"/>
      <c r="S89" s="70"/>
      <c r="T89" s="69"/>
      <c r="U89" s="69"/>
    </row>
    <row r="90" spans="1:21" ht="16" customHeight="1">
      <c r="A90" s="69"/>
      <c r="B90" s="69"/>
      <c r="C90" s="69"/>
      <c r="D90" s="69"/>
      <c r="E90" s="69"/>
      <c r="G90" s="69"/>
      <c r="H90" s="68"/>
      <c r="I90" s="70"/>
      <c r="J90" s="59">
        <v>9</v>
      </c>
      <c r="K90" s="314" t="s">
        <v>73</v>
      </c>
      <c r="L90" s="66"/>
      <c r="M90" s="312"/>
      <c r="N90" s="68"/>
      <c r="O90" s="70"/>
      <c r="P90" s="68"/>
      <c r="Q90" s="70"/>
      <c r="R90" s="68"/>
      <c r="S90" s="70"/>
      <c r="T90" s="69"/>
      <c r="U90" s="69"/>
    </row>
    <row r="91" spans="1:21" ht="16" customHeight="1">
      <c r="A91" s="69"/>
      <c r="B91" s="69"/>
      <c r="C91" s="69"/>
      <c r="D91" s="69"/>
      <c r="E91" s="69"/>
      <c r="G91" s="69"/>
      <c r="H91" s="68"/>
      <c r="I91" s="70"/>
      <c r="J91" s="57"/>
      <c r="K91" s="297">
        <f>K67</f>
        <v>2947</v>
      </c>
      <c r="L91" s="66"/>
      <c r="M91" s="313"/>
      <c r="N91" s="68"/>
      <c r="O91" s="70"/>
      <c r="P91" s="68"/>
      <c r="Q91" s="70"/>
      <c r="R91" s="68"/>
      <c r="S91" s="70"/>
      <c r="T91" s="69"/>
      <c r="U91" s="69"/>
    </row>
    <row r="92" spans="1:21" ht="16" customHeight="1">
      <c r="A92" s="69"/>
      <c r="B92" s="69"/>
      <c r="C92" s="69"/>
      <c r="D92" s="69"/>
      <c r="E92" s="69"/>
      <c r="G92" s="69"/>
      <c r="I92" s="69"/>
      <c r="J92" s="366">
        <v>10</v>
      </c>
      <c r="K92" s="307" t="s">
        <v>114</v>
      </c>
      <c r="M92" s="69"/>
      <c r="O92" s="69"/>
      <c r="Q92" s="69"/>
      <c r="S92" s="69"/>
      <c r="T92" s="69"/>
      <c r="U92" s="69"/>
    </row>
    <row r="93" spans="1:21" ht="16" customHeight="1">
      <c r="A93" s="69"/>
      <c r="B93" s="69"/>
      <c r="C93" s="69"/>
      <c r="D93" s="69"/>
      <c r="E93" s="69"/>
      <c r="G93" s="69"/>
      <c r="I93" s="69"/>
      <c r="J93" s="367"/>
      <c r="K93" s="297">
        <f>K69</f>
        <v>701</v>
      </c>
      <c r="M93" s="69"/>
      <c r="O93" s="69"/>
      <c r="Q93" s="69"/>
      <c r="S93" s="69"/>
      <c r="T93" s="69"/>
      <c r="U93" s="69"/>
    </row>
    <row r="94" spans="1:21" ht="16" customHeight="1">
      <c r="A94" s="69"/>
      <c r="B94" s="69"/>
      <c r="C94" s="69"/>
      <c r="D94" s="69"/>
      <c r="E94" s="69"/>
      <c r="G94" s="69"/>
      <c r="I94" s="69"/>
      <c r="K94" s="69"/>
      <c r="M94" s="69"/>
      <c r="O94" s="69"/>
      <c r="Q94" s="69"/>
      <c r="S94" s="69"/>
      <c r="T94" s="69"/>
      <c r="U94" s="69"/>
    </row>
    <row r="95" spans="1:21">
      <c r="A95" s="69"/>
      <c r="B95" s="69"/>
      <c r="C95" s="69"/>
      <c r="D95" s="69"/>
      <c r="E95" s="69"/>
      <c r="G95" s="69"/>
      <c r="I95" s="69"/>
      <c r="K95" s="69"/>
      <c r="M95" s="69"/>
      <c r="O95" s="69"/>
      <c r="Q95" s="69"/>
      <c r="S95" s="69"/>
      <c r="T95" s="69"/>
      <c r="U95" s="69"/>
    </row>
    <row r="96" spans="1:21">
      <c r="A96" s="11"/>
      <c r="B96" s="11"/>
      <c r="C96" s="11"/>
      <c r="D96" s="11"/>
      <c r="E96" s="11"/>
      <c r="F96" s="34"/>
      <c r="G96" s="11"/>
      <c r="H96" s="34"/>
      <c r="I96" s="11"/>
      <c r="J96" s="34"/>
      <c r="K96" s="11"/>
      <c r="L96" s="34"/>
      <c r="M96" s="11"/>
      <c r="N96" s="34"/>
      <c r="O96" s="11"/>
      <c r="P96" s="34"/>
      <c r="Q96" s="11"/>
      <c r="R96" s="34"/>
      <c r="S96" s="11"/>
      <c r="T96" s="11"/>
      <c r="U96" s="11"/>
    </row>
    <row r="97" spans="1:21">
      <c r="A97" s="11"/>
      <c r="B97" s="11"/>
      <c r="C97" s="11"/>
      <c r="D97" s="11"/>
      <c r="E97" s="11"/>
      <c r="F97" s="34"/>
      <c r="G97" s="11"/>
      <c r="H97" s="34"/>
      <c r="I97" s="11"/>
      <c r="J97" s="34"/>
      <c r="K97" s="11"/>
      <c r="L97" s="34"/>
      <c r="M97" s="11"/>
      <c r="N97" s="34"/>
      <c r="O97" s="11"/>
      <c r="P97" s="34"/>
      <c r="Q97" s="11"/>
      <c r="R97" s="34"/>
      <c r="S97" s="11"/>
      <c r="T97" s="11"/>
      <c r="U97" s="11"/>
    </row>
    <row r="98" spans="1:21">
      <c r="A98" s="11"/>
      <c r="B98" s="11"/>
      <c r="C98" s="11"/>
      <c r="D98" s="11"/>
      <c r="E98" s="11"/>
      <c r="F98" s="34"/>
      <c r="G98" s="11"/>
      <c r="H98" s="34"/>
      <c r="I98" s="11"/>
      <c r="J98" s="34"/>
      <c r="K98" s="11"/>
      <c r="L98" s="34"/>
      <c r="M98" s="11"/>
      <c r="N98" s="34"/>
      <c r="O98" s="11"/>
      <c r="P98" s="34"/>
      <c r="Q98" s="11"/>
      <c r="R98" s="34"/>
      <c r="S98" s="11"/>
      <c r="T98" s="11"/>
      <c r="U98" s="11"/>
    </row>
    <row r="99" spans="1:21">
      <c r="A99" s="11"/>
      <c r="B99" s="11"/>
      <c r="C99" s="11"/>
      <c r="D99" s="11"/>
      <c r="E99" s="11"/>
      <c r="F99" s="34"/>
      <c r="G99" s="11"/>
      <c r="H99" s="34"/>
      <c r="I99" s="11"/>
      <c r="J99" s="34"/>
      <c r="K99" s="11"/>
      <c r="L99" s="34"/>
      <c r="M99" s="11"/>
      <c r="N99" s="34"/>
      <c r="O99" s="11"/>
      <c r="P99" s="34"/>
      <c r="Q99" s="11"/>
      <c r="R99" s="34"/>
      <c r="S99" s="11"/>
      <c r="T99" s="11"/>
      <c r="U99" s="11"/>
    </row>
    <row r="100" spans="1:21">
      <c r="A100" s="11"/>
      <c r="B100" s="11"/>
      <c r="C100" s="11"/>
      <c r="D100" s="11"/>
      <c r="E100" s="11"/>
      <c r="F100" s="34"/>
      <c r="G100" s="11"/>
      <c r="H100" s="34"/>
      <c r="I100" s="11"/>
      <c r="J100" s="34"/>
      <c r="K100" s="11"/>
      <c r="L100" s="34"/>
      <c r="M100" s="11"/>
      <c r="N100" s="34"/>
      <c r="O100" s="11"/>
      <c r="P100" s="34"/>
      <c r="Q100" s="11"/>
      <c r="R100" s="34"/>
      <c r="S100" s="11"/>
      <c r="T100" s="11"/>
      <c r="U100" s="11"/>
    </row>
  </sheetData>
  <mergeCells count="54">
    <mergeCell ref="A69:E69"/>
    <mergeCell ref="D58:E58"/>
    <mergeCell ref="C59:E59"/>
    <mergeCell ref="D60:E60"/>
    <mergeCell ref="D61:E61"/>
    <mergeCell ref="C62:E62"/>
    <mergeCell ref="C63:E63"/>
    <mergeCell ref="B64:E64"/>
    <mergeCell ref="B65:E65"/>
    <mergeCell ref="B66:E66"/>
    <mergeCell ref="A67:E67"/>
    <mergeCell ref="A68:E68"/>
    <mergeCell ref="C45:E45"/>
    <mergeCell ref="B46:E46"/>
    <mergeCell ref="B47:E47"/>
    <mergeCell ref="A48:E48"/>
    <mergeCell ref="A49:A66"/>
    <mergeCell ref="B49:B63"/>
    <mergeCell ref="C49:C58"/>
    <mergeCell ref="D49:D52"/>
    <mergeCell ref="D54:D56"/>
    <mergeCell ref="D57:E57"/>
    <mergeCell ref="P31:Q31"/>
    <mergeCell ref="R31:S31"/>
    <mergeCell ref="A32:A47"/>
    <mergeCell ref="B32:B45"/>
    <mergeCell ref="C32:C42"/>
    <mergeCell ref="D32:D36"/>
    <mergeCell ref="D38:D39"/>
    <mergeCell ref="D40:D41"/>
    <mergeCell ref="C43:E43"/>
    <mergeCell ref="C44:E44"/>
    <mergeCell ref="A31:E31"/>
    <mergeCell ref="F31:G31"/>
    <mergeCell ref="H31:I31"/>
    <mergeCell ref="J31:K31"/>
    <mergeCell ref="L31:M31"/>
    <mergeCell ref="N31:O31"/>
    <mergeCell ref="P29:Q29"/>
    <mergeCell ref="R29:S29"/>
    <mergeCell ref="A30:E30"/>
    <mergeCell ref="F30:G30"/>
    <mergeCell ref="H30:I30"/>
    <mergeCell ref="J30:K30"/>
    <mergeCell ref="L30:M30"/>
    <mergeCell ref="N30:O30"/>
    <mergeCell ref="P30:Q30"/>
    <mergeCell ref="R30:S30"/>
    <mergeCell ref="N29:O29"/>
    <mergeCell ref="A1:E1"/>
    <mergeCell ref="F29:G29"/>
    <mergeCell ref="H29:I29"/>
    <mergeCell ref="J29:K29"/>
    <mergeCell ref="L29:M29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C82E5-D26C-E748-8257-2453568ADDF6}">
  <dimension ref="A1:U80"/>
  <sheetViews>
    <sheetView topLeftCell="A22" zoomScale="119" workbookViewId="0">
      <selection activeCell="M37" sqref="M37"/>
    </sheetView>
  </sheetViews>
  <sheetFormatPr baseColWidth="10" defaultColWidth="8.83203125" defaultRowHeight="18"/>
  <cols>
    <col min="1" max="2" width="5.6640625" customWidth="1"/>
    <col min="3" max="3" width="11.5" customWidth="1"/>
    <col min="4" max="4" width="23.1640625" customWidth="1"/>
    <col min="5" max="5" width="32.6640625" customWidth="1"/>
    <col min="6" max="6" width="4.6640625" customWidth="1"/>
    <col min="7" max="7" width="14.6640625" customWidth="1"/>
    <col min="8" max="8" width="4.6640625" customWidth="1"/>
    <col min="9" max="9" width="14.6640625" customWidth="1"/>
    <col min="10" max="10" width="4.6640625" customWidth="1"/>
    <col min="11" max="11" width="14.6640625" customWidth="1"/>
    <col min="12" max="12" width="4.6640625" customWidth="1"/>
    <col min="13" max="13" width="14.6640625" customWidth="1"/>
    <col min="14" max="14" width="4.6640625" customWidth="1"/>
    <col min="15" max="15" width="14.6640625" customWidth="1"/>
    <col min="18" max="19" width="10.33203125" customWidth="1"/>
    <col min="20" max="20" width="12.6640625" customWidth="1"/>
    <col min="21" max="21" width="10.33203125" customWidth="1"/>
  </cols>
  <sheetData>
    <row r="1" spans="1:16" ht="16" customHeight="1">
      <c r="A1" s="373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4"/>
    </row>
    <row r="2" spans="1:16" ht="16" customHeight="1">
      <c r="A2" s="373"/>
      <c r="B2" s="618" t="s">
        <v>179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373"/>
      <c r="P2" s="374"/>
    </row>
    <row r="3" spans="1:16" ht="16" customHeight="1">
      <c r="A3" s="373"/>
      <c r="B3" s="373"/>
      <c r="C3" s="373"/>
      <c r="D3" s="373"/>
      <c r="E3" s="373"/>
      <c r="F3" s="221"/>
      <c r="G3" s="375" t="s">
        <v>77</v>
      </c>
      <c r="H3" s="373"/>
      <c r="I3" s="373"/>
      <c r="J3" s="373"/>
      <c r="K3" s="373"/>
      <c r="L3" s="373"/>
      <c r="M3" s="373"/>
      <c r="N3" s="373"/>
      <c r="O3" s="373"/>
      <c r="P3" s="374"/>
    </row>
    <row r="4" spans="1:16" ht="16" customHeight="1">
      <c r="A4" s="373"/>
      <c r="B4" s="373"/>
      <c r="C4" s="373"/>
      <c r="D4" s="373"/>
      <c r="E4" s="373"/>
      <c r="F4" s="221"/>
      <c r="G4" s="376" t="s">
        <v>78</v>
      </c>
      <c r="H4" s="373"/>
      <c r="I4" s="373"/>
      <c r="J4" s="373"/>
      <c r="K4" s="373"/>
      <c r="L4" s="373"/>
      <c r="M4" s="373"/>
      <c r="N4" s="373"/>
      <c r="O4" s="373"/>
      <c r="P4" s="374"/>
    </row>
    <row r="5" spans="1:16" ht="16" customHeight="1">
      <c r="A5" s="373"/>
      <c r="B5" s="373"/>
      <c r="C5" s="373"/>
      <c r="D5" s="373"/>
      <c r="E5" s="373"/>
      <c r="F5" s="377" t="s">
        <v>79</v>
      </c>
      <c r="G5" s="378" t="s">
        <v>80</v>
      </c>
      <c r="H5" s="377" t="s">
        <v>79</v>
      </c>
      <c r="I5" s="378" t="s">
        <v>81</v>
      </c>
      <c r="J5" s="377" t="s">
        <v>79</v>
      </c>
      <c r="K5" s="378" t="s">
        <v>82</v>
      </c>
      <c r="L5" s="377" t="s">
        <v>79</v>
      </c>
      <c r="M5" s="378" t="s">
        <v>180</v>
      </c>
      <c r="N5" s="373"/>
      <c r="O5" s="373"/>
      <c r="P5" s="374"/>
    </row>
    <row r="6" spans="1:16" ht="16" customHeight="1">
      <c r="A6" s="373"/>
      <c r="B6" s="373"/>
      <c r="C6" s="373"/>
      <c r="D6" s="373"/>
      <c r="E6" s="373"/>
      <c r="F6" s="379">
        <v>1</v>
      </c>
      <c r="G6" s="380" t="s">
        <v>86</v>
      </c>
      <c r="H6" s="379">
        <v>1</v>
      </c>
      <c r="I6" s="380" t="s">
        <v>88</v>
      </c>
      <c r="J6" s="379">
        <v>1</v>
      </c>
      <c r="K6" s="380" t="s">
        <v>88</v>
      </c>
      <c r="L6" s="379">
        <v>1</v>
      </c>
      <c r="M6" s="380" t="s">
        <v>88</v>
      </c>
      <c r="N6" s="373"/>
      <c r="O6" s="373"/>
      <c r="P6" s="374"/>
    </row>
    <row r="7" spans="1:16" ht="16" customHeight="1">
      <c r="A7" s="373"/>
      <c r="B7" s="373"/>
      <c r="C7" s="373"/>
      <c r="D7" s="373"/>
      <c r="E7" s="373"/>
      <c r="F7" s="381"/>
      <c r="G7" s="382">
        <f>G29</f>
        <v>105</v>
      </c>
      <c r="H7" s="381"/>
      <c r="I7" s="382">
        <f>I31</f>
        <v>140</v>
      </c>
      <c r="J7" s="381"/>
      <c r="K7" s="382">
        <f>K31</f>
        <v>30</v>
      </c>
      <c r="L7" s="381"/>
      <c r="M7" s="382">
        <f>M31</f>
        <v>30</v>
      </c>
      <c r="N7" s="373"/>
      <c r="O7" s="373"/>
      <c r="P7" s="374"/>
    </row>
    <row r="8" spans="1:16" ht="16" customHeight="1">
      <c r="A8" s="373"/>
      <c r="B8" s="373"/>
      <c r="C8" s="373"/>
      <c r="D8" s="373"/>
      <c r="E8" s="373"/>
      <c r="F8" s="383">
        <v>2</v>
      </c>
      <c r="G8" s="384" t="s">
        <v>90</v>
      </c>
      <c r="H8" s="385">
        <v>2</v>
      </c>
      <c r="I8" s="386" t="s">
        <v>89</v>
      </c>
      <c r="J8" s="383">
        <v>2</v>
      </c>
      <c r="K8" s="384" t="s">
        <v>152</v>
      </c>
      <c r="L8" s="385">
        <v>2</v>
      </c>
      <c r="M8" s="386" t="s">
        <v>89</v>
      </c>
      <c r="N8" s="373"/>
      <c r="O8" s="373"/>
      <c r="P8" s="374"/>
    </row>
    <row r="9" spans="1:16" ht="16" customHeight="1">
      <c r="A9" s="373"/>
      <c r="B9" s="373"/>
      <c r="C9" s="373"/>
      <c r="D9" s="373"/>
      <c r="E9" s="373"/>
      <c r="F9" s="383"/>
      <c r="G9" s="387">
        <f>G30</f>
        <v>5</v>
      </c>
      <c r="H9" s="385"/>
      <c r="I9" s="388">
        <f>I32</f>
        <v>78</v>
      </c>
      <c r="J9" s="383"/>
      <c r="K9" s="389">
        <f>K33</f>
        <v>85</v>
      </c>
      <c r="L9" s="385"/>
      <c r="M9" s="388">
        <f>M32</f>
        <v>22</v>
      </c>
      <c r="N9" s="373"/>
      <c r="O9" s="373"/>
      <c r="P9" s="374"/>
    </row>
    <row r="10" spans="1:16" ht="16" customHeight="1">
      <c r="A10" s="373"/>
      <c r="B10" s="373"/>
      <c r="C10" s="373"/>
      <c r="D10" s="373"/>
      <c r="E10" s="373"/>
      <c r="F10" s="390">
        <v>3</v>
      </c>
      <c r="G10" s="391" t="s">
        <v>181</v>
      </c>
      <c r="H10" s="379">
        <v>3</v>
      </c>
      <c r="I10" s="392" t="s">
        <v>182</v>
      </c>
      <c r="J10" s="379">
        <v>3</v>
      </c>
      <c r="K10" s="380" t="s">
        <v>93</v>
      </c>
      <c r="L10" s="379">
        <v>3</v>
      </c>
      <c r="M10" s="380" t="s">
        <v>93</v>
      </c>
      <c r="N10" s="373"/>
      <c r="O10" s="373"/>
      <c r="P10" s="374"/>
    </row>
    <row r="11" spans="1:16" ht="16" customHeight="1">
      <c r="A11" s="373"/>
      <c r="B11" s="373"/>
      <c r="C11" s="373"/>
      <c r="D11" s="373"/>
      <c r="E11" s="373"/>
      <c r="F11" s="393"/>
      <c r="G11" s="394">
        <f>G39</f>
        <v>110</v>
      </c>
      <c r="H11" s="381"/>
      <c r="I11" s="382">
        <f>I34</f>
        <v>270</v>
      </c>
      <c r="J11" s="381"/>
      <c r="K11" s="242">
        <f>K37</f>
        <v>3888</v>
      </c>
      <c r="L11" s="381"/>
      <c r="M11" s="242">
        <f>M37</f>
        <v>9072</v>
      </c>
      <c r="N11" s="373"/>
      <c r="O11" s="373"/>
      <c r="P11" s="374"/>
    </row>
    <row r="12" spans="1:16" ht="16" customHeight="1">
      <c r="A12" s="373"/>
      <c r="B12" s="373"/>
      <c r="C12" s="373"/>
      <c r="D12" s="373"/>
      <c r="E12" s="373"/>
      <c r="F12" s="383">
        <v>4</v>
      </c>
      <c r="G12" s="384" t="s">
        <v>97</v>
      </c>
      <c r="H12" s="385">
        <v>4</v>
      </c>
      <c r="I12" s="395" t="s">
        <v>183</v>
      </c>
      <c r="J12" s="385">
        <v>4</v>
      </c>
      <c r="K12" s="386" t="s">
        <v>181</v>
      </c>
      <c r="L12" s="383">
        <v>4</v>
      </c>
      <c r="M12" s="396" t="s">
        <v>96</v>
      </c>
      <c r="N12" s="373"/>
      <c r="O12" s="373"/>
      <c r="P12" s="374"/>
    </row>
    <row r="13" spans="1:16" ht="16" customHeight="1">
      <c r="A13" s="373"/>
      <c r="B13" s="373"/>
      <c r="C13" s="373"/>
      <c r="D13" s="373"/>
      <c r="E13" s="373"/>
      <c r="F13" s="383"/>
      <c r="G13" s="387">
        <f>G40</f>
        <v>12</v>
      </c>
      <c r="H13" s="385"/>
      <c r="I13" s="388">
        <f>I35</f>
        <v>30</v>
      </c>
      <c r="J13" s="385"/>
      <c r="K13" s="242">
        <f>K39</f>
        <v>4003</v>
      </c>
      <c r="L13" s="385"/>
      <c r="M13" s="389">
        <f>M38</f>
        <v>60</v>
      </c>
      <c r="N13" s="373"/>
      <c r="O13" s="373"/>
      <c r="P13" s="374"/>
    </row>
    <row r="14" spans="1:16" ht="16" customHeight="1">
      <c r="A14" s="373"/>
      <c r="B14" s="373"/>
      <c r="C14" s="373"/>
      <c r="D14" s="373"/>
      <c r="E14" s="373"/>
      <c r="F14" s="390">
        <v>5</v>
      </c>
      <c r="G14" s="391" t="s">
        <v>184</v>
      </c>
      <c r="H14" s="397">
        <v>5</v>
      </c>
      <c r="I14" s="396" t="s">
        <v>185</v>
      </c>
      <c r="J14" s="379">
        <v>5</v>
      </c>
      <c r="K14" s="380" t="s">
        <v>97</v>
      </c>
      <c r="L14" s="379">
        <v>5</v>
      </c>
      <c r="M14" s="380" t="s">
        <v>181</v>
      </c>
      <c r="N14" s="373"/>
      <c r="O14" s="373"/>
      <c r="P14" s="374"/>
    </row>
    <row r="15" spans="1:16" ht="16" customHeight="1">
      <c r="A15" s="373"/>
      <c r="B15" s="373"/>
      <c r="C15" s="373"/>
      <c r="D15" s="373"/>
      <c r="E15" s="373"/>
      <c r="F15" s="393"/>
      <c r="G15" s="394">
        <f>G42</f>
        <v>122</v>
      </c>
      <c r="H15" s="398"/>
      <c r="I15" s="389">
        <f>I36</f>
        <v>400</v>
      </c>
      <c r="J15" s="381"/>
      <c r="K15" s="382">
        <f>K40</f>
        <v>80</v>
      </c>
      <c r="L15" s="398"/>
      <c r="M15" s="233">
        <f>M39</f>
        <v>9184</v>
      </c>
      <c r="N15" s="373"/>
      <c r="O15" s="373"/>
      <c r="P15" s="374"/>
    </row>
    <row r="16" spans="1:16" ht="16" customHeight="1">
      <c r="A16" s="373"/>
      <c r="B16" s="373"/>
      <c r="C16" s="373"/>
      <c r="D16" s="373"/>
      <c r="E16" s="373"/>
      <c r="F16" s="399">
        <v>6</v>
      </c>
      <c r="G16" s="400" t="s">
        <v>147</v>
      </c>
      <c r="H16" s="385">
        <v>6</v>
      </c>
      <c r="I16" s="380" t="s">
        <v>181</v>
      </c>
      <c r="J16" s="385">
        <v>6</v>
      </c>
      <c r="K16" s="380" t="s">
        <v>186</v>
      </c>
      <c r="L16" s="385">
        <v>6</v>
      </c>
      <c r="M16" s="380" t="s">
        <v>97</v>
      </c>
      <c r="N16" s="373"/>
      <c r="O16" s="373"/>
      <c r="P16" s="374"/>
    </row>
    <row r="17" spans="1:16" ht="16" customHeight="1">
      <c r="A17" s="373"/>
      <c r="B17" s="373"/>
      <c r="C17" s="373"/>
      <c r="D17" s="373"/>
      <c r="E17" s="373"/>
      <c r="F17" s="399"/>
      <c r="G17" s="401">
        <f>G44</f>
        <v>122</v>
      </c>
      <c r="H17" s="385"/>
      <c r="I17" s="388">
        <f>I39</f>
        <v>918</v>
      </c>
      <c r="J17" s="385"/>
      <c r="K17" s="382">
        <f>K41</f>
        <v>5</v>
      </c>
      <c r="L17" s="385"/>
      <c r="M17" s="382">
        <f>M40</f>
        <v>183</v>
      </c>
      <c r="N17" s="373"/>
      <c r="O17" s="373"/>
      <c r="P17" s="374"/>
    </row>
    <row r="18" spans="1:16" ht="16" customHeight="1">
      <c r="A18" s="373"/>
      <c r="B18" s="373"/>
      <c r="C18" s="373"/>
      <c r="D18" s="373"/>
      <c r="E18" s="373"/>
      <c r="F18" s="402"/>
      <c r="G18" s="403"/>
      <c r="H18" s="379">
        <v>7</v>
      </c>
      <c r="I18" s="380" t="s">
        <v>97</v>
      </c>
      <c r="J18" s="379">
        <v>7</v>
      </c>
      <c r="K18" s="380" t="s">
        <v>184</v>
      </c>
      <c r="L18" s="379">
        <v>7</v>
      </c>
      <c r="M18" s="386" t="s">
        <v>186</v>
      </c>
      <c r="N18" s="373"/>
      <c r="O18" s="373"/>
      <c r="P18" s="374"/>
    </row>
    <row r="19" spans="1:16" ht="16" customHeight="1">
      <c r="A19" s="373"/>
      <c r="B19" s="373"/>
      <c r="C19" s="373"/>
      <c r="D19" s="373"/>
      <c r="E19" s="373"/>
      <c r="F19" s="404"/>
      <c r="G19" s="405"/>
      <c r="H19" s="381"/>
      <c r="I19" s="382">
        <f>I40</f>
        <v>18</v>
      </c>
      <c r="J19" s="381"/>
      <c r="K19" s="242">
        <f>K42</f>
        <v>4088</v>
      </c>
      <c r="L19" s="381"/>
      <c r="M19" s="388">
        <f>M41</f>
        <v>87</v>
      </c>
      <c r="N19" s="373"/>
      <c r="O19" s="373"/>
      <c r="P19" s="374"/>
    </row>
    <row r="20" spans="1:16" ht="16" customHeight="1">
      <c r="A20" s="406"/>
      <c r="B20" s="406"/>
      <c r="C20" s="406"/>
      <c r="D20" s="406"/>
      <c r="E20" s="406"/>
      <c r="F20" s="406"/>
      <c r="G20" s="406"/>
      <c r="H20" s="385">
        <v>8</v>
      </c>
      <c r="I20" s="386" t="s">
        <v>186</v>
      </c>
      <c r="J20" s="379">
        <v>8</v>
      </c>
      <c r="K20" s="386" t="s">
        <v>147</v>
      </c>
      <c r="L20" s="385">
        <v>8</v>
      </c>
      <c r="M20" s="380" t="s">
        <v>184</v>
      </c>
      <c r="N20" s="406"/>
      <c r="O20" s="406"/>
      <c r="P20" s="374"/>
    </row>
    <row r="21" spans="1:16" ht="16" customHeight="1">
      <c r="A21" s="406"/>
      <c r="B21" s="406"/>
      <c r="C21" s="406"/>
      <c r="D21" s="406"/>
      <c r="E21" s="406"/>
      <c r="F21" s="406"/>
      <c r="G21" s="406"/>
      <c r="H21" s="385"/>
      <c r="I21" s="388">
        <f>I41</f>
        <v>1</v>
      </c>
      <c r="J21" s="381"/>
      <c r="K21" s="242">
        <f>K44</f>
        <v>4088</v>
      </c>
      <c r="L21" s="385"/>
      <c r="M21" s="242">
        <f>M42</f>
        <v>9454</v>
      </c>
      <c r="N21" s="406"/>
      <c r="O21" s="406"/>
      <c r="P21" s="374"/>
    </row>
    <row r="22" spans="1:16" ht="16" customHeight="1">
      <c r="A22" s="406"/>
      <c r="B22" s="406"/>
      <c r="C22" s="406"/>
      <c r="D22" s="406"/>
      <c r="E22" s="406"/>
      <c r="F22" s="406"/>
      <c r="G22" s="406"/>
      <c r="H22" s="379">
        <v>9</v>
      </c>
      <c r="I22" s="380" t="s">
        <v>184</v>
      </c>
      <c r="J22" s="406"/>
      <c r="K22" s="406"/>
      <c r="L22" s="379">
        <v>9</v>
      </c>
      <c r="M22" s="380" t="s">
        <v>101</v>
      </c>
      <c r="N22" s="406"/>
      <c r="O22" s="406"/>
      <c r="P22" s="374"/>
    </row>
    <row r="23" spans="1:16" ht="16" customHeight="1">
      <c r="A23" s="406"/>
      <c r="B23" s="406"/>
      <c r="C23" s="406"/>
      <c r="D23" s="406"/>
      <c r="E23" s="406"/>
      <c r="F23" s="406"/>
      <c r="G23" s="406"/>
      <c r="H23" s="381"/>
      <c r="I23" s="382">
        <f>I42</f>
        <v>937</v>
      </c>
      <c r="J23" s="406"/>
      <c r="K23" s="406"/>
      <c r="L23" s="381"/>
      <c r="M23" s="242">
        <f>M43</f>
        <v>2924</v>
      </c>
      <c r="N23" s="406"/>
      <c r="O23" s="406"/>
      <c r="P23" s="374"/>
    </row>
    <row r="24" spans="1:16" ht="16" customHeight="1">
      <c r="A24" s="406"/>
      <c r="B24" s="406"/>
      <c r="C24" s="406"/>
      <c r="D24" s="406"/>
      <c r="E24" s="406"/>
      <c r="F24" s="406"/>
      <c r="G24" s="406"/>
      <c r="H24" s="379">
        <v>10</v>
      </c>
      <c r="I24" s="380" t="s">
        <v>147</v>
      </c>
      <c r="J24" s="406"/>
      <c r="K24" s="406"/>
      <c r="L24" s="379">
        <v>10</v>
      </c>
      <c r="M24" s="380" t="s">
        <v>147</v>
      </c>
      <c r="N24" s="406"/>
      <c r="O24" s="406"/>
      <c r="P24" s="374"/>
    </row>
    <row r="25" spans="1:16" ht="16" customHeight="1">
      <c r="A25" s="406"/>
      <c r="B25" s="406"/>
      <c r="C25" s="406"/>
      <c r="D25" s="406"/>
      <c r="E25" s="406"/>
      <c r="F25" s="406"/>
      <c r="G25" s="406"/>
      <c r="H25" s="393"/>
      <c r="I25" s="394">
        <f>I44</f>
        <v>937</v>
      </c>
      <c r="J25" s="406"/>
      <c r="K25" s="406"/>
      <c r="L25" s="393"/>
      <c r="M25" s="244">
        <f>M44</f>
        <v>12378</v>
      </c>
      <c r="N25" s="406"/>
      <c r="O25" s="406"/>
      <c r="P25" s="374"/>
    </row>
    <row r="26" spans="1:16" ht="16" customHeight="1">
      <c r="A26" s="406"/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374"/>
    </row>
    <row r="27" spans="1:16" ht="16" customHeight="1">
      <c r="A27" s="406"/>
      <c r="B27" s="620" t="s">
        <v>187</v>
      </c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619"/>
      <c r="O27" s="619"/>
      <c r="P27" s="374"/>
    </row>
    <row r="28" spans="1:16" ht="16" customHeight="1">
      <c r="B28" s="621"/>
      <c r="C28" s="601"/>
      <c r="D28" s="601"/>
      <c r="E28" s="602"/>
      <c r="F28" s="622" t="s">
        <v>9</v>
      </c>
      <c r="G28" s="602"/>
      <c r="H28" s="622" t="s">
        <v>119</v>
      </c>
      <c r="I28" s="602"/>
      <c r="J28" s="622" t="s">
        <v>120</v>
      </c>
      <c r="K28" s="602"/>
      <c r="L28" s="622" t="s">
        <v>122</v>
      </c>
      <c r="M28" s="602"/>
      <c r="N28" s="544" t="s">
        <v>123</v>
      </c>
      <c r="O28" s="602"/>
      <c r="P28" s="374"/>
    </row>
    <row r="29" spans="1:16" ht="16" customHeight="1">
      <c r="A29" s="1"/>
      <c r="B29" s="550" t="s">
        <v>15</v>
      </c>
      <c r="C29" s="611" t="s">
        <v>188</v>
      </c>
      <c r="D29" s="612"/>
      <c r="E29" s="407" t="s">
        <v>189</v>
      </c>
      <c r="F29" s="408"/>
      <c r="G29" s="409">
        <f>25+30+50</f>
        <v>105</v>
      </c>
      <c r="H29" s="408"/>
      <c r="I29" s="410"/>
      <c r="J29" s="408"/>
      <c r="K29" s="410"/>
      <c r="L29" s="408"/>
      <c r="M29" s="410"/>
      <c r="N29" s="411"/>
      <c r="O29" s="412">
        <f>G29</f>
        <v>105</v>
      </c>
      <c r="P29" s="374"/>
    </row>
    <row r="30" spans="1:16" ht="16" customHeight="1" thickBot="1">
      <c r="A30" s="1"/>
      <c r="B30" s="608"/>
      <c r="C30" s="613"/>
      <c r="D30" s="614"/>
      <c r="E30" s="407" t="s">
        <v>190</v>
      </c>
      <c r="F30" s="408"/>
      <c r="G30" s="413">
        <v>5</v>
      </c>
      <c r="H30" s="414"/>
      <c r="I30" s="415"/>
      <c r="J30" s="408"/>
      <c r="K30" s="410"/>
      <c r="L30" s="408"/>
      <c r="M30" s="410"/>
      <c r="N30" s="411"/>
      <c r="O30" s="412">
        <v>5</v>
      </c>
      <c r="P30" s="374"/>
    </row>
    <row r="31" spans="1:16" ht="16" customHeight="1" thickTop="1" thickBot="1">
      <c r="A31" s="1"/>
      <c r="B31" s="608"/>
      <c r="C31" s="613"/>
      <c r="D31" s="614"/>
      <c r="E31" s="407" t="s">
        <v>191</v>
      </c>
      <c r="F31" s="408"/>
      <c r="G31" s="416"/>
      <c r="H31" s="417" t="s">
        <v>192</v>
      </c>
      <c r="I31" s="418">
        <f>200*70/100</f>
        <v>140</v>
      </c>
      <c r="J31" s="408"/>
      <c r="K31" s="409">
        <f>200*15/100</f>
        <v>30</v>
      </c>
      <c r="L31" s="414"/>
      <c r="M31" s="419">
        <f>200*15/100</f>
        <v>30</v>
      </c>
      <c r="N31" s="420"/>
      <c r="O31" s="412">
        <f>SUM(G31:M31)</f>
        <v>200</v>
      </c>
      <c r="P31" s="374"/>
    </row>
    <row r="32" spans="1:16" ht="16" customHeight="1" thickTop="1" thickBot="1">
      <c r="A32" s="1"/>
      <c r="B32" s="608"/>
      <c r="C32" s="615"/>
      <c r="D32" s="616"/>
      <c r="E32" s="407" t="s">
        <v>193</v>
      </c>
      <c r="F32" s="408"/>
      <c r="G32" s="410"/>
      <c r="H32" s="408"/>
      <c r="I32" s="409">
        <f>25+50+(15*20/100)</f>
        <v>78</v>
      </c>
      <c r="J32" s="408"/>
      <c r="K32" s="416"/>
      <c r="L32" s="417" t="s">
        <v>194</v>
      </c>
      <c r="M32" s="418">
        <f>ROUNDDOWN(15*80/100,0)+10</f>
        <v>22</v>
      </c>
      <c r="N32" s="420"/>
      <c r="O32" s="412">
        <f>SUM(G32:M32)</f>
        <v>100</v>
      </c>
      <c r="P32" s="374"/>
    </row>
    <row r="33" spans="1:21" ht="16" customHeight="1" thickTop="1" thickBot="1">
      <c r="A33" s="1"/>
      <c r="B33" s="608"/>
      <c r="C33" s="600" t="s">
        <v>195</v>
      </c>
      <c r="D33" s="601"/>
      <c r="E33" s="602"/>
      <c r="F33" s="408"/>
      <c r="G33" s="410"/>
      <c r="H33" s="414"/>
      <c r="I33" s="415"/>
      <c r="J33" s="408"/>
      <c r="K33" s="413">
        <v>85</v>
      </c>
      <c r="L33" s="408"/>
      <c r="M33" s="410"/>
      <c r="N33" s="411"/>
      <c r="O33" s="412">
        <v>85</v>
      </c>
      <c r="P33" s="374"/>
    </row>
    <row r="34" spans="1:21" ht="16" customHeight="1" thickTop="1" thickBot="1">
      <c r="A34" s="1"/>
      <c r="B34" s="608"/>
      <c r="C34" s="611" t="s">
        <v>196</v>
      </c>
      <c r="D34" s="612"/>
      <c r="E34" s="407" t="s">
        <v>197</v>
      </c>
      <c r="F34" s="408"/>
      <c r="G34" s="416"/>
      <c r="H34" s="417" t="s">
        <v>198</v>
      </c>
      <c r="I34" s="418">
        <f>2700*10/100</f>
        <v>270</v>
      </c>
      <c r="J34" s="408"/>
      <c r="K34" s="410"/>
      <c r="L34" s="408"/>
      <c r="M34" s="410"/>
      <c r="N34" s="421"/>
      <c r="O34" s="422">
        <v>270</v>
      </c>
      <c r="P34" s="374"/>
    </row>
    <row r="35" spans="1:21" ht="16" customHeight="1" thickTop="1" thickBot="1">
      <c r="A35" s="1"/>
      <c r="B35" s="608"/>
      <c r="C35" s="613"/>
      <c r="D35" s="614"/>
      <c r="E35" s="407" t="s">
        <v>199</v>
      </c>
      <c r="F35" s="408"/>
      <c r="G35" s="410"/>
      <c r="H35" s="408"/>
      <c r="I35" s="409">
        <f>300*10/100</f>
        <v>30</v>
      </c>
      <c r="J35" s="408"/>
      <c r="K35" s="410"/>
      <c r="L35" s="408"/>
      <c r="M35" s="416"/>
      <c r="N35" s="423" t="s">
        <v>200</v>
      </c>
      <c r="O35" s="424">
        <v>30</v>
      </c>
      <c r="P35" s="374"/>
    </row>
    <row r="36" spans="1:21" ht="16" customHeight="1" thickTop="1" thickBot="1">
      <c r="A36" s="1"/>
      <c r="B36" s="608"/>
      <c r="C36" s="615"/>
      <c r="D36" s="616"/>
      <c r="E36" s="407" t="s">
        <v>201</v>
      </c>
      <c r="F36" s="408"/>
      <c r="G36" s="410"/>
      <c r="H36" s="408"/>
      <c r="I36" s="413">
        <v>400</v>
      </c>
      <c r="J36" s="414"/>
      <c r="K36" s="415"/>
      <c r="L36" s="408"/>
      <c r="M36" s="410"/>
      <c r="N36" s="421"/>
      <c r="O36" s="422">
        <v>400</v>
      </c>
      <c r="P36" s="374"/>
    </row>
    <row r="37" spans="1:21" ht="16" customHeight="1" thickTop="1" thickBot="1">
      <c r="A37" s="1"/>
      <c r="B37" s="608"/>
      <c r="C37" s="611" t="s">
        <v>202</v>
      </c>
      <c r="D37" s="612"/>
      <c r="E37" s="407" t="s">
        <v>203</v>
      </c>
      <c r="F37" s="408"/>
      <c r="G37" s="410"/>
      <c r="H37" s="408"/>
      <c r="I37" s="416"/>
      <c r="J37" s="417" t="s">
        <v>204</v>
      </c>
      <c r="K37" s="425">
        <f>(36000*360*30/100)/1000</f>
        <v>3888</v>
      </c>
      <c r="L37" s="408"/>
      <c r="M37" s="426">
        <f>(36000*360*70/100)/1000</f>
        <v>9072</v>
      </c>
      <c r="N37" s="427" t="s">
        <v>205</v>
      </c>
      <c r="O37" s="428">
        <f>K37+M37</f>
        <v>12960</v>
      </c>
      <c r="P37" s="374"/>
    </row>
    <row r="38" spans="1:21" ht="16" customHeight="1" thickTop="1" thickBot="1">
      <c r="A38" s="1"/>
      <c r="B38" s="608"/>
      <c r="C38" s="615"/>
      <c r="D38" s="616"/>
      <c r="E38" s="407" t="s">
        <v>206</v>
      </c>
      <c r="F38" s="414"/>
      <c r="G38" s="415"/>
      <c r="H38" s="408"/>
      <c r="I38" s="410"/>
      <c r="J38" s="408"/>
      <c r="K38" s="410"/>
      <c r="L38" s="414"/>
      <c r="M38" s="429">
        <v>60</v>
      </c>
      <c r="N38" s="411"/>
      <c r="O38" s="412">
        <v>60</v>
      </c>
      <c r="P38" s="374"/>
    </row>
    <row r="39" spans="1:21" ht="16" customHeight="1" thickTop="1" thickBot="1">
      <c r="A39" s="1"/>
      <c r="B39" s="608"/>
      <c r="C39" s="603" t="s">
        <v>181</v>
      </c>
      <c r="D39" s="601"/>
      <c r="E39" s="602"/>
      <c r="F39" s="417" t="s">
        <v>207</v>
      </c>
      <c r="G39" s="418">
        <f>G29+G30</f>
        <v>110</v>
      </c>
      <c r="H39" s="414"/>
      <c r="I39" s="419">
        <f>SUM(I29:I38)</f>
        <v>918</v>
      </c>
      <c r="J39" s="414"/>
      <c r="K39" s="430">
        <f>SUM(K29:K38)</f>
        <v>4003</v>
      </c>
      <c r="L39" s="417" t="s">
        <v>208</v>
      </c>
      <c r="M39" s="425">
        <f>SUM(M29:M38)</f>
        <v>9184</v>
      </c>
      <c r="N39" s="420"/>
      <c r="O39" s="431">
        <f>SUM(G39:M39)</f>
        <v>14215</v>
      </c>
      <c r="P39" s="374"/>
    </row>
    <row r="40" spans="1:21" ht="16" customHeight="1" thickTop="1" thickBot="1">
      <c r="A40" s="1"/>
      <c r="B40" s="608"/>
      <c r="C40" s="600" t="s">
        <v>209</v>
      </c>
      <c r="D40" s="601"/>
      <c r="E40" s="602"/>
      <c r="F40" s="408"/>
      <c r="G40" s="432">
        <v>12</v>
      </c>
      <c r="H40" s="417" t="s">
        <v>20</v>
      </c>
      <c r="I40" s="418">
        <f>ROUNDDOWN(I39*2/100,0)</f>
        <v>18</v>
      </c>
      <c r="J40" s="433" t="s">
        <v>22</v>
      </c>
      <c r="K40" s="418">
        <f>ROUNDDOWN(K39*2/100,0)</f>
        <v>80</v>
      </c>
      <c r="L40" s="414"/>
      <c r="M40" s="419">
        <f>ROUNDDOWN(M39*2/100,0)</f>
        <v>183</v>
      </c>
      <c r="N40" s="420"/>
      <c r="O40" s="412">
        <f>SUM(G40:M40)</f>
        <v>293</v>
      </c>
      <c r="P40" s="374"/>
      <c r="R40" s="500" t="s">
        <v>233</v>
      </c>
      <c r="S40" s="501"/>
      <c r="T40" s="501"/>
      <c r="U40" s="502"/>
    </row>
    <row r="41" spans="1:21" ht="16" customHeight="1" thickTop="1" thickBot="1">
      <c r="A41" s="1"/>
      <c r="B41" s="608"/>
      <c r="C41" s="600" t="s">
        <v>210</v>
      </c>
      <c r="D41" s="601"/>
      <c r="E41" s="602"/>
      <c r="F41" s="408"/>
      <c r="G41" s="410"/>
      <c r="H41" s="414"/>
      <c r="I41" s="419">
        <f>ROUNDDOWN(G59*3/100,0)</f>
        <v>1</v>
      </c>
      <c r="J41" s="408"/>
      <c r="K41" s="434">
        <f>ROUNDDOWN(I59*3/100,0)</f>
        <v>5</v>
      </c>
      <c r="L41" s="417" t="s">
        <v>23</v>
      </c>
      <c r="M41" s="418">
        <f>ROUNDDOWN(K59*3/100,0)</f>
        <v>87</v>
      </c>
      <c r="N41" s="420"/>
      <c r="O41" s="412">
        <f>I41+K41+M41</f>
        <v>93</v>
      </c>
      <c r="P41" s="374"/>
      <c r="R41" s="485" t="s">
        <v>220</v>
      </c>
      <c r="S41" s="496"/>
      <c r="T41" s="486" t="s">
        <v>221</v>
      </c>
      <c r="U41" s="487"/>
    </row>
    <row r="42" spans="1:21" ht="16" customHeight="1" thickTop="1" thickBot="1">
      <c r="A42" s="1"/>
      <c r="B42" s="608"/>
      <c r="C42" s="603" t="s">
        <v>184</v>
      </c>
      <c r="D42" s="601"/>
      <c r="E42" s="602"/>
      <c r="F42" s="408"/>
      <c r="G42" s="434">
        <f>SUM(G39:G41)</f>
        <v>122</v>
      </c>
      <c r="H42" s="417" t="s">
        <v>25</v>
      </c>
      <c r="I42" s="435">
        <f>SUM(I39:I41)</f>
        <v>937</v>
      </c>
      <c r="J42" s="408"/>
      <c r="K42" s="436">
        <f>SUM(K39:K41)</f>
        <v>4088</v>
      </c>
      <c r="L42" s="408"/>
      <c r="M42" s="436">
        <f>SUM(M39:M41)</f>
        <v>9454</v>
      </c>
      <c r="N42" s="420"/>
      <c r="O42" s="437">
        <f>SUM(O39:O41)</f>
        <v>14601</v>
      </c>
      <c r="P42" s="374"/>
      <c r="R42" s="488"/>
      <c r="S42" s="497"/>
      <c r="T42" s="489" t="s">
        <v>223</v>
      </c>
      <c r="U42" s="490">
        <f>O51</f>
        <v>1191</v>
      </c>
    </row>
    <row r="43" spans="1:21" ht="16" customHeight="1" thickTop="1" thickBot="1">
      <c r="A43" s="1"/>
      <c r="B43" s="608"/>
      <c r="C43" s="600" t="s">
        <v>101</v>
      </c>
      <c r="D43" s="601"/>
      <c r="E43" s="602"/>
      <c r="F43" s="408"/>
      <c r="G43" s="410"/>
      <c r="H43" s="408"/>
      <c r="I43" s="410"/>
      <c r="J43" s="408"/>
      <c r="K43" s="410"/>
      <c r="L43" s="414"/>
      <c r="M43" s="438">
        <f>K59</f>
        <v>2924</v>
      </c>
      <c r="N43" s="411"/>
      <c r="O43" s="437">
        <f>M43</f>
        <v>2924</v>
      </c>
      <c r="P43" s="374"/>
      <c r="R43" s="488"/>
      <c r="S43" s="497"/>
      <c r="T43" s="489" t="s">
        <v>224</v>
      </c>
      <c r="U43" s="490">
        <f>O54</f>
        <v>400</v>
      </c>
    </row>
    <row r="44" spans="1:21" ht="16" customHeight="1" thickTop="1" thickBot="1">
      <c r="A44" s="1"/>
      <c r="B44" s="617"/>
      <c r="C44" s="605" t="s">
        <v>147</v>
      </c>
      <c r="D44" s="606"/>
      <c r="E44" s="607"/>
      <c r="F44" s="439"/>
      <c r="G44" s="440">
        <f>G42</f>
        <v>122</v>
      </c>
      <c r="H44" s="441"/>
      <c r="I44" s="440">
        <f>I42</f>
        <v>937</v>
      </c>
      <c r="J44" s="441"/>
      <c r="K44" s="442">
        <f>K42</f>
        <v>4088</v>
      </c>
      <c r="L44" s="443" t="s">
        <v>29</v>
      </c>
      <c r="M44" s="444">
        <f>M42+M43</f>
        <v>12378</v>
      </c>
      <c r="N44" s="445"/>
      <c r="O44" s="446">
        <f>SUM(G44:M44)</f>
        <v>17525</v>
      </c>
      <c r="P44" s="374"/>
      <c r="R44" s="491"/>
      <c r="S44" s="498"/>
      <c r="T44" s="484" t="s">
        <v>225</v>
      </c>
      <c r="U44" s="492">
        <f>U45-U42-U43</f>
        <v>13010</v>
      </c>
    </row>
    <row r="45" spans="1:21" ht="16" customHeight="1" thickTop="1" thickBot="1">
      <c r="A45" s="1"/>
      <c r="B45" s="550" t="s">
        <v>54</v>
      </c>
      <c r="C45" s="551" t="s">
        <v>149</v>
      </c>
      <c r="D45" s="610" t="s">
        <v>188</v>
      </c>
      <c r="E45" s="447" t="s">
        <v>189</v>
      </c>
      <c r="F45" s="448" t="s">
        <v>35</v>
      </c>
      <c r="G45" s="449">
        <f>G29*2/3</f>
        <v>70</v>
      </c>
      <c r="H45" s="450"/>
      <c r="I45" s="451"/>
      <c r="J45" s="450"/>
      <c r="K45" s="451"/>
      <c r="L45" s="450"/>
      <c r="M45" s="451"/>
      <c r="N45" s="411"/>
      <c r="O45" s="412">
        <f>G45</f>
        <v>70</v>
      </c>
      <c r="P45" s="374"/>
      <c r="R45" s="493" t="s">
        <v>222</v>
      </c>
      <c r="S45" s="499">
        <f>O42</f>
        <v>14601</v>
      </c>
      <c r="T45" s="494"/>
      <c r="U45" s="495">
        <f>S45</f>
        <v>14601</v>
      </c>
    </row>
    <row r="46" spans="1:21" ht="16" customHeight="1" thickTop="1" thickBot="1">
      <c r="A46" s="1"/>
      <c r="B46" s="608"/>
      <c r="C46" s="608"/>
      <c r="D46" s="608"/>
      <c r="E46" s="407" t="s">
        <v>190</v>
      </c>
      <c r="F46" s="450"/>
      <c r="G46" s="452">
        <f>ROUND(G30*2/3,0)</f>
        <v>3</v>
      </c>
      <c r="H46" s="453"/>
      <c r="I46" s="454"/>
      <c r="J46" s="450"/>
      <c r="K46" s="451"/>
      <c r="L46" s="450"/>
      <c r="M46" s="451"/>
      <c r="N46" s="411"/>
      <c r="O46" s="412">
        <f>G46</f>
        <v>3</v>
      </c>
      <c r="P46" s="374"/>
      <c r="R46" s="488"/>
      <c r="S46" s="489"/>
      <c r="T46" s="489"/>
      <c r="U46" s="503"/>
    </row>
    <row r="47" spans="1:21" ht="16" customHeight="1" thickTop="1" thickBot="1">
      <c r="A47" s="1"/>
      <c r="B47" s="608"/>
      <c r="C47" s="608"/>
      <c r="D47" s="608"/>
      <c r="E47" s="407" t="s">
        <v>191</v>
      </c>
      <c r="F47" s="450"/>
      <c r="G47" s="455"/>
      <c r="H47" s="456" t="s">
        <v>37</v>
      </c>
      <c r="I47" s="457">
        <f>ROUNDDOWN(I31*2/3,0)</f>
        <v>93</v>
      </c>
      <c r="J47" s="450"/>
      <c r="K47" s="452">
        <f>K31*2/3</f>
        <v>20</v>
      </c>
      <c r="L47" s="450"/>
      <c r="M47" s="452">
        <f>M31*2/3</f>
        <v>20</v>
      </c>
      <c r="N47" s="420"/>
      <c r="O47" s="412">
        <f>I47+K47+M47</f>
        <v>133</v>
      </c>
      <c r="P47" s="374"/>
      <c r="R47" s="488"/>
      <c r="S47" s="489"/>
      <c r="T47" s="489"/>
      <c r="U47" s="503"/>
    </row>
    <row r="48" spans="1:21" ht="16" customHeight="1" thickTop="1" thickBot="1">
      <c r="A48" s="1"/>
      <c r="B48" s="608"/>
      <c r="C48" s="608"/>
      <c r="D48" s="609"/>
      <c r="E48" s="407" t="s">
        <v>193</v>
      </c>
      <c r="F48" s="450"/>
      <c r="G48" s="455"/>
      <c r="H48" s="458" t="s">
        <v>40</v>
      </c>
      <c r="I48" s="459">
        <f>ROUNDDOWN(I32*2/3,0)</f>
        <v>52</v>
      </c>
      <c r="J48" s="450"/>
      <c r="K48" s="451"/>
      <c r="L48" s="450"/>
      <c r="M48" s="452">
        <f>ROUNDDOWN(M32*2/3,0)</f>
        <v>14</v>
      </c>
      <c r="N48" s="420"/>
      <c r="O48" s="412">
        <f>I48+M48</f>
        <v>66</v>
      </c>
      <c r="P48" s="374"/>
      <c r="R48" s="488"/>
      <c r="S48" s="489"/>
      <c r="T48" s="489" t="s">
        <v>231</v>
      </c>
      <c r="U48" s="504">
        <f>I55</f>
        <v>600</v>
      </c>
    </row>
    <row r="49" spans="1:21" ht="16" customHeight="1" thickTop="1" thickBot="1">
      <c r="A49" s="1"/>
      <c r="B49" s="608"/>
      <c r="C49" s="608"/>
      <c r="D49" s="600" t="s">
        <v>195</v>
      </c>
      <c r="E49" s="602"/>
      <c r="F49" s="450"/>
      <c r="G49" s="451"/>
      <c r="H49" s="450"/>
      <c r="I49" s="451"/>
      <c r="J49" s="450"/>
      <c r="K49" s="452">
        <f>ROUNDDOWN(K33*2/3,0)</f>
        <v>56</v>
      </c>
      <c r="L49" s="453"/>
      <c r="M49" s="454"/>
      <c r="N49" s="411"/>
      <c r="O49" s="412">
        <f>K49</f>
        <v>56</v>
      </c>
      <c r="P49" s="374"/>
      <c r="R49" s="488"/>
      <c r="S49" s="489"/>
      <c r="T49" s="489" t="s">
        <v>227</v>
      </c>
      <c r="U49" s="505">
        <f>K55</f>
        <v>1000</v>
      </c>
    </row>
    <row r="50" spans="1:21" ht="16" customHeight="1" thickTop="1" thickBot="1">
      <c r="A50" s="1"/>
      <c r="B50" s="608"/>
      <c r="C50" s="608"/>
      <c r="D50" s="600" t="s">
        <v>211</v>
      </c>
      <c r="E50" s="602"/>
      <c r="F50" s="450"/>
      <c r="G50" s="451"/>
      <c r="H50" s="450"/>
      <c r="I50" s="451"/>
      <c r="J50" s="450"/>
      <c r="K50" s="460">
        <f>ROUNDDOWN(K37*10/100*2/3,0)</f>
        <v>259</v>
      </c>
      <c r="L50" s="458" t="s">
        <v>43</v>
      </c>
      <c r="M50" s="459">
        <f>ROUNDDOWN(M37*10/100*2/3,0)</f>
        <v>604</v>
      </c>
      <c r="N50" s="420"/>
      <c r="O50" s="412">
        <f>K50+M50</f>
        <v>863</v>
      </c>
      <c r="P50" s="374"/>
      <c r="R50" s="488"/>
      <c r="S50" s="489"/>
      <c r="T50" s="506" t="s">
        <v>235</v>
      </c>
      <c r="U50" s="507">
        <f>U44-U48-U49</f>
        <v>11410</v>
      </c>
    </row>
    <row r="51" spans="1:21" ht="16" customHeight="1" thickTop="1" thickBot="1">
      <c r="A51" s="1"/>
      <c r="B51" s="608"/>
      <c r="C51" s="609"/>
      <c r="D51" s="600" t="s">
        <v>212</v>
      </c>
      <c r="E51" s="602"/>
      <c r="F51" s="450"/>
      <c r="G51" s="452">
        <f>G45+G46</f>
        <v>73</v>
      </c>
      <c r="H51" s="450"/>
      <c r="I51" s="452">
        <f>SUM(I45:I50)</f>
        <v>145</v>
      </c>
      <c r="J51" s="450"/>
      <c r="K51" s="452">
        <f>SUM(K45:K50)</f>
        <v>335</v>
      </c>
      <c r="L51" s="453"/>
      <c r="M51" s="461">
        <f>SUM(M45:M50)</f>
        <v>638</v>
      </c>
      <c r="N51" s="420"/>
      <c r="O51" s="431">
        <f>SUM(G51:M51)</f>
        <v>1191</v>
      </c>
      <c r="P51" s="374"/>
      <c r="R51" s="493"/>
      <c r="S51" s="494"/>
      <c r="T51" s="494"/>
      <c r="U51" s="508"/>
    </row>
    <row r="52" spans="1:21" ht="16" customHeight="1" thickTop="1" thickBot="1">
      <c r="A52" s="1"/>
      <c r="B52" s="608"/>
      <c r="C52" s="611" t="s">
        <v>213</v>
      </c>
      <c r="D52" s="612"/>
      <c r="E52" s="407" t="s">
        <v>214</v>
      </c>
      <c r="F52" s="450"/>
      <c r="G52" s="451"/>
      <c r="H52" s="450"/>
      <c r="I52" s="452">
        <f>(M52*10/100)+(I35*10/100)+40</f>
        <v>70</v>
      </c>
      <c r="J52" s="450"/>
      <c r="K52" s="455"/>
      <c r="L52" s="458" t="s">
        <v>45</v>
      </c>
      <c r="M52" s="459">
        <f>270-(270*10/100)+30-(30*10/100)</f>
        <v>270</v>
      </c>
      <c r="N52" s="420"/>
      <c r="O52" s="412">
        <f>I52+M52</f>
        <v>340</v>
      </c>
      <c r="P52" s="374"/>
    </row>
    <row r="53" spans="1:21" ht="16" customHeight="1" thickTop="1" thickBot="1">
      <c r="A53" s="1"/>
      <c r="B53" s="608"/>
      <c r="C53" s="613"/>
      <c r="D53" s="614"/>
      <c r="E53" s="407" t="s">
        <v>215</v>
      </c>
      <c r="F53" s="450"/>
      <c r="G53" s="451"/>
      <c r="H53" s="453"/>
      <c r="I53" s="454"/>
      <c r="J53" s="450"/>
      <c r="K53" s="451"/>
      <c r="L53" s="450"/>
      <c r="M53" s="452">
        <f>M38*100/100</f>
        <v>60</v>
      </c>
      <c r="N53" s="411"/>
      <c r="O53" s="412">
        <f>M53</f>
        <v>60</v>
      </c>
      <c r="P53" s="374"/>
    </row>
    <row r="54" spans="1:21" ht="16" customHeight="1" thickTop="1" thickBot="1">
      <c r="A54" s="1"/>
      <c r="B54" s="608"/>
      <c r="C54" s="615"/>
      <c r="D54" s="616"/>
      <c r="E54" s="462" t="s">
        <v>216</v>
      </c>
      <c r="F54" s="450"/>
      <c r="G54" s="455"/>
      <c r="H54" s="458" t="s">
        <v>46</v>
      </c>
      <c r="I54" s="459">
        <f>I52</f>
        <v>70</v>
      </c>
      <c r="J54" s="450"/>
      <c r="K54" s="463"/>
      <c r="L54" s="450"/>
      <c r="M54" s="515">
        <f>M52+M53</f>
        <v>330</v>
      </c>
      <c r="N54" s="464"/>
      <c r="O54" s="422">
        <f>I54+M54</f>
        <v>400</v>
      </c>
      <c r="P54" s="374"/>
    </row>
    <row r="55" spans="1:21" ht="16" customHeight="1" thickTop="1" thickBot="1">
      <c r="A55" s="1"/>
      <c r="B55" s="608"/>
      <c r="C55" s="600" t="s">
        <v>112</v>
      </c>
      <c r="D55" s="601"/>
      <c r="E55" s="602"/>
      <c r="F55" s="450"/>
      <c r="G55" s="451"/>
      <c r="H55" s="453"/>
      <c r="I55" s="465">
        <v>600</v>
      </c>
      <c r="J55" s="450"/>
      <c r="K55" s="466">
        <v>1000</v>
      </c>
      <c r="L55" s="450"/>
      <c r="M55" s="516">
        <f>O42-O51-O54-I55-K55</f>
        <v>11410</v>
      </c>
      <c r="N55" s="514" t="s">
        <v>47</v>
      </c>
      <c r="O55" s="428">
        <f>I55+K55+M55</f>
        <v>13010</v>
      </c>
      <c r="P55" s="374"/>
    </row>
    <row r="56" spans="1:21" ht="16" customHeight="1" thickTop="1" thickBot="1">
      <c r="A56" s="1"/>
      <c r="B56" s="608"/>
      <c r="C56" s="603" t="s">
        <v>123</v>
      </c>
      <c r="D56" s="601"/>
      <c r="E56" s="602"/>
      <c r="F56" s="450"/>
      <c r="G56" s="460">
        <f>G51</f>
        <v>73</v>
      </c>
      <c r="H56" s="458" t="s">
        <v>48</v>
      </c>
      <c r="I56" s="459">
        <f>I51+I54+I55</f>
        <v>815</v>
      </c>
      <c r="J56" s="453"/>
      <c r="K56" s="467">
        <f>K51+K54+K55</f>
        <v>1335</v>
      </c>
      <c r="L56" s="450"/>
      <c r="M56" s="468">
        <f>M51+M54+M55</f>
        <v>12378</v>
      </c>
      <c r="N56" s="420"/>
      <c r="O56" s="437">
        <f>SUM(G56:M56)</f>
        <v>14601</v>
      </c>
      <c r="P56" s="374"/>
    </row>
    <row r="57" spans="1:21" ht="16" customHeight="1" thickTop="1" thickBot="1">
      <c r="A57" s="1"/>
      <c r="B57" s="608"/>
      <c r="C57" s="600" t="s">
        <v>111</v>
      </c>
      <c r="D57" s="601"/>
      <c r="E57" s="602"/>
      <c r="F57" s="450"/>
      <c r="G57" s="452">
        <f>G44-G56</f>
        <v>49</v>
      </c>
      <c r="H57" s="453"/>
      <c r="I57" s="469">
        <f>I44-I56</f>
        <v>122</v>
      </c>
      <c r="J57" s="458" t="s">
        <v>50</v>
      </c>
      <c r="K57" s="470">
        <f>K44-K56</f>
        <v>2753</v>
      </c>
      <c r="L57" s="450"/>
      <c r="M57" s="451"/>
      <c r="N57" s="420"/>
      <c r="O57" s="437">
        <f>G57+I57+K57</f>
        <v>2924</v>
      </c>
      <c r="P57" s="374"/>
    </row>
    <row r="58" spans="1:21" ht="16" customHeight="1" thickTop="1" thickBot="1">
      <c r="A58" s="1"/>
      <c r="B58" s="609"/>
      <c r="C58" s="603" t="s">
        <v>170</v>
      </c>
      <c r="D58" s="601"/>
      <c r="E58" s="602"/>
      <c r="F58" s="450"/>
      <c r="G58" s="460">
        <f>G56+G57</f>
        <v>122</v>
      </c>
      <c r="H58" s="458" t="s">
        <v>52</v>
      </c>
      <c r="I58" s="459">
        <f>I56+I57</f>
        <v>937</v>
      </c>
      <c r="J58" s="453"/>
      <c r="K58" s="471">
        <f>K56+K57</f>
        <v>4088</v>
      </c>
      <c r="L58" s="450"/>
      <c r="M58" s="468">
        <f>M56</f>
        <v>12378</v>
      </c>
      <c r="N58" s="420"/>
      <c r="O58" s="431">
        <f>SUM(G58:M58)</f>
        <v>17525</v>
      </c>
      <c r="P58" s="374"/>
    </row>
    <row r="59" spans="1:21" ht="16" customHeight="1" thickTop="1" thickBot="1">
      <c r="A59" s="472"/>
      <c r="B59" s="604" t="s">
        <v>217</v>
      </c>
      <c r="C59" s="601"/>
      <c r="D59" s="601"/>
      <c r="E59" s="602"/>
      <c r="F59" s="473"/>
      <c r="G59" s="452">
        <f>G57</f>
        <v>49</v>
      </c>
      <c r="H59" s="450"/>
      <c r="I59" s="460">
        <f>G59+I57</f>
        <v>171</v>
      </c>
      <c r="J59" s="458" t="s">
        <v>55</v>
      </c>
      <c r="K59" s="474">
        <f>I59+K57</f>
        <v>2924</v>
      </c>
      <c r="L59" s="450"/>
      <c r="M59" s="513">
        <f>K59-M43</f>
        <v>0</v>
      </c>
      <c r="N59" s="411"/>
      <c r="O59" s="412" t="s">
        <v>234</v>
      </c>
      <c r="P59" s="374"/>
    </row>
    <row r="60" spans="1:21" ht="16" customHeight="1" thickTop="1">
      <c r="A60" s="406"/>
      <c r="B60" s="406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4"/>
    </row>
    <row r="61" spans="1:21" ht="16" customHeight="1">
      <c r="F61" s="221"/>
      <c r="G61" s="375" t="s">
        <v>77</v>
      </c>
      <c r="P61" s="11"/>
    </row>
    <row r="62" spans="1:21" ht="16" customHeight="1">
      <c r="F62" s="221"/>
      <c r="G62" s="376" t="s">
        <v>78</v>
      </c>
      <c r="P62" s="11"/>
    </row>
    <row r="63" spans="1:21" ht="16" customHeight="1">
      <c r="F63" s="286" t="s">
        <v>79</v>
      </c>
      <c r="G63" s="287" t="s">
        <v>102</v>
      </c>
      <c r="H63" s="286" t="s">
        <v>79</v>
      </c>
      <c r="I63" s="287" t="s">
        <v>103</v>
      </c>
      <c r="J63" s="286" t="s">
        <v>79</v>
      </c>
      <c r="K63" s="287" t="s">
        <v>104</v>
      </c>
      <c r="L63" s="286" t="s">
        <v>79</v>
      </c>
      <c r="M63" s="475" t="s">
        <v>218</v>
      </c>
      <c r="P63" s="11"/>
    </row>
    <row r="64" spans="1:21" ht="16" customHeight="1">
      <c r="F64" s="55">
        <v>1</v>
      </c>
      <c r="G64" s="476" t="s">
        <v>86</v>
      </c>
      <c r="H64" s="55">
        <v>1</v>
      </c>
      <c r="I64" s="476" t="s">
        <v>88</v>
      </c>
      <c r="J64" s="55">
        <v>1</v>
      </c>
      <c r="K64" s="476" t="s">
        <v>88</v>
      </c>
      <c r="L64" s="55">
        <v>1</v>
      </c>
      <c r="M64" s="477" t="s">
        <v>88</v>
      </c>
      <c r="P64" s="11"/>
    </row>
    <row r="65" spans="1:16" ht="16" customHeight="1">
      <c r="F65" s="59"/>
      <c r="G65" s="296">
        <f>G45</f>
        <v>70</v>
      </c>
      <c r="H65" s="59"/>
      <c r="I65" s="296">
        <f>I47</f>
        <v>93</v>
      </c>
      <c r="J65" s="59"/>
      <c r="K65" s="296">
        <f>K47</f>
        <v>20</v>
      </c>
      <c r="L65" s="59"/>
      <c r="M65" s="297">
        <f>M47</f>
        <v>20</v>
      </c>
      <c r="P65" s="11"/>
    </row>
    <row r="66" spans="1:16" ht="16" customHeight="1">
      <c r="F66" s="55">
        <v>2</v>
      </c>
      <c r="G66" s="476" t="s">
        <v>90</v>
      </c>
      <c r="H66" s="55">
        <v>2</v>
      </c>
      <c r="I66" s="476" t="s">
        <v>89</v>
      </c>
      <c r="J66" s="55">
        <v>2</v>
      </c>
      <c r="K66" s="476" t="s">
        <v>152</v>
      </c>
      <c r="L66" s="55">
        <v>2</v>
      </c>
      <c r="M66" s="477" t="s">
        <v>89</v>
      </c>
      <c r="P66" s="11"/>
    </row>
    <row r="67" spans="1:16" ht="16" customHeight="1">
      <c r="F67" s="57"/>
      <c r="G67" s="296">
        <f>G46</f>
        <v>3</v>
      </c>
      <c r="H67" s="57"/>
      <c r="I67" s="296">
        <f>I48</f>
        <v>52</v>
      </c>
      <c r="J67" s="57"/>
      <c r="K67" s="296">
        <f>K49</f>
        <v>56</v>
      </c>
      <c r="L67" s="57"/>
      <c r="M67" s="297">
        <f>M48</f>
        <v>14</v>
      </c>
      <c r="P67" s="11"/>
    </row>
    <row r="68" spans="1:16" ht="16" customHeight="1">
      <c r="F68" s="59">
        <v>3</v>
      </c>
      <c r="G68" s="478" t="s">
        <v>123</v>
      </c>
      <c r="H68" s="59">
        <v>3</v>
      </c>
      <c r="I68" s="478" t="s">
        <v>219</v>
      </c>
      <c r="J68" s="59">
        <v>3</v>
      </c>
      <c r="K68" s="478" t="s">
        <v>154</v>
      </c>
      <c r="L68" s="59">
        <v>3</v>
      </c>
      <c r="M68" s="479" t="s">
        <v>154</v>
      </c>
      <c r="P68" s="11"/>
    </row>
    <row r="69" spans="1:16" ht="16" customHeight="1">
      <c r="F69" s="57"/>
      <c r="G69" s="296">
        <f>G56</f>
        <v>73</v>
      </c>
      <c r="H69" s="57"/>
      <c r="I69" s="296">
        <f>I52</f>
        <v>70</v>
      </c>
      <c r="J69" s="57"/>
      <c r="K69" s="296">
        <f>K50</f>
        <v>259</v>
      </c>
      <c r="L69" s="57"/>
      <c r="M69" s="297">
        <f>M50</f>
        <v>604</v>
      </c>
      <c r="P69" s="11"/>
    </row>
    <row r="70" spans="1:16" ht="16" customHeight="1">
      <c r="F70" s="55">
        <v>4</v>
      </c>
      <c r="G70" s="480" t="s">
        <v>111</v>
      </c>
      <c r="H70" s="63">
        <v>4</v>
      </c>
      <c r="I70" s="481" t="s">
        <v>112</v>
      </c>
      <c r="J70" s="63">
        <v>4</v>
      </c>
      <c r="K70" s="481" t="s">
        <v>112</v>
      </c>
      <c r="L70" s="55">
        <v>4</v>
      </c>
      <c r="M70" s="479" t="s">
        <v>219</v>
      </c>
      <c r="P70" s="11"/>
    </row>
    <row r="71" spans="1:16" ht="16" customHeight="1">
      <c r="F71" s="57"/>
      <c r="G71" s="304">
        <f>G57</f>
        <v>49</v>
      </c>
      <c r="H71" s="64"/>
      <c r="I71" s="482">
        <f>I55</f>
        <v>600</v>
      </c>
      <c r="J71" s="64"/>
      <c r="K71" s="482">
        <f>K55</f>
        <v>1000</v>
      </c>
      <c r="L71" s="57"/>
      <c r="M71" s="297">
        <f>M52</f>
        <v>270</v>
      </c>
      <c r="P71" s="11"/>
    </row>
    <row r="72" spans="1:16" ht="16" customHeight="1">
      <c r="F72" s="59">
        <v>5</v>
      </c>
      <c r="G72" s="483" t="s">
        <v>170</v>
      </c>
      <c r="H72" s="59">
        <v>5</v>
      </c>
      <c r="I72" s="483" t="s">
        <v>111</v>
      </c>
      <c r="J72" s="59">
        <v>5</v>
      </c>
      <c r="K72" s="483" t="s">
        <v>111</v>
      </c>
      <c r="L72" s="59">
        <v>5</v>
      </c>
      <c r="M72" s="479" t="s">
        <v>96</v>
      </c>
      <c r="P72" s="11"/>
    </row>
    <row r="73" spans="1:16" ht="16" customHeight="1">
      <c r="F73" s="57"/>
      <c r="G73" s="304">
        <f>G58</f>
        <v>122</v>
      </c>
      <c r="H73" s="57"/>
      <c r="I73" s="304">
        <f>I57</f>
        <v>122</v>
      </c>
      <c r="J73" s="57"/>
      <c r="K73" s="304">
        <f>K57</f>
        <v>2753</v>
      </c>
      <c r="L73" s="57"/>
      <c r="M73" s="297">
        <f>M53</f>
        <v>60</v>
      </c>
      <c r="P73" s="11"/>
    </row>
    <row r="74" spans="1:16" ht="16" customHeight="1">
      <c r="F74" s="59">
        <v>6</v>
      </c>
      <c r="G74" s="483" t="s">
        <v>217</v>
      </c>
      <c r="H74" s="59">
        <v>6</v>
      </c>
      <c r="I74" s="483" t="s">
        <v>170</v>
      </c>
      <c r="J74" s="59">
        <v>6</v>
      </c>
      <c r="K74" s="483" t="s">
        <v>170</v>
      </c>
      <c r="L74" s="59">
        <v>6</v>
      </c>
      <c r="M74" s="479" t="s">
        <v>112</v>
      </c>
      <c r="P74" s="11"/>
    </row>
    <row r="75" spans="1:16" ht="16" customHeight="1">
      <c r="F75" s="57"/>
      <c r="G75" s="304">
        <f>G59</f>
        <v>49</v>
      </c>
      <c r="H75" s="57"/>
      <c r="I75" s="304">
        <f>I58</f>
        <v>937</v>
      </c>
      <c r="J75" s="57"/>
      <c r="K75" s="304">
        <f>K58</f>
        <v>4088</v>
      </c>
      <c r="L75" s="57"/>
      <c r="M75" s="297">
        <f>M55</f>
        <v>11410</v>
      </c>
      <c r="P75" s="11"/>
    </row>
    <row r="76" spans="1:16" ht="16" customHeight="1">
      <c r="H76" s="59">
        <v>7</v>
      </c>
      <c r="I76" s="483" t="s">
        <v>217</v>
      </c>
      <c r="J76" s="59">
        <v>7</v>
      </c>
      <c r="K76" s="483" t="s">
        <v>217</v>
      </c>
      <c r="L76" s="59">
        <v>7</v>
      </c>
      <c r="M76" s="477" t="s">
        <v>170</v>
      </c>
      <c r="P76" s="11"/>
    </row>
    <row r="77" spans="1:16" ht="16" customHeight="1">
      <c r="H77" s="57"/>
      <c r="I77" s="304">
        <f>I59</f>
        <v>171</v>
      </c>
      <c r="J77" s="57"/>
      <c r="K77" s="304">
        <f>K59</f>
        <v>2924</v>
      </c>
      <c r="L77" s="57"/>
      <c r="M77" s="297">
        <f>M58</f>
        <v>12378</v>
      </c>
      <c r="P77" s="11"/>
    </row>
    <row r="78" spans="1:16" ht="16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</sheetData>
  <mergeCells count="31">
    <mergeCell ref="C42:E42"/>
    <mergeCell ref="C43:E43"/>
    <mergeCell ref="B2:N2"/>
    <mergeCell ref="B27:O27"/>
    <mergeCell ref="B28:E28"/>
    <mergeCell ref="F28:G28"/>
    <mergeCell ref="H28:I28"/>
    <mergeCell ref="J28:K28"/>
    <mergeCell ref="L28:M28"/>
    <mergeCell ref="N28:O28"/>
    <mergeCell ref="C34:D36"/>
    <mergeCell ref="C37:D38"/>
    <mergeCell ref="C39:E39"/>
    <mergeCell ref="C40:E40"/>
    <mergeCell ref="C41:E41"/>
    <mergeCell ref="C57:E57"/>
    <mergeCell ref="C58:E58"/>
    <mergeCell ref="B59:E59"/>
    <mergeCell ref="C44:E44"/>
    <mergeCell ref="B45:B58"/>
    <mergeCell ref="C45:C51"/>
    <mergeCell ref="D45:D48"/>
    <mergeCell ref="D49:E49"/>
    <mergeCell ref="D50:E50"/>
    <mergeCell ref="D51:E51"/>
    <mergeCell ref="C52:D54"/>
    <mergeCell ref="C55:E55"/>
    <mergeCell ref="C56:E56"/>
    <mergeCell ref="B29:B44"/>
    <mergeCell ref="C29:D32"/>
    <mergeCell ref="C33:E33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1A7F2-695D-6243-87F7-25C3B610BE74}">
  <dimension ref="A1:Z92"/>
  <sheetViews>
    <sheetView topLeftCell="A63" zoomScale="162" zoomScaleNormal="100" workbookViewId="0">
      <selection activeCell="G83" sqref="G83"/>
    </sheetView>
  </sheetViews>
  <sheetFormatPr baseColWidth="10" defaultColWidth="8.83203125" defaultRowHeight="18"/>
  <cols>
    <col min="1" max="2" width="5.6640625" style="510" customWidth="1"/>
    <col min="3" max="3" width="12.33203125" style="510" customWidth="1"/>
    <col min="4" max="4" width="4.33203125" style="510" customWidth="1"/>
    <col min="5" max="5" width="9.33203125" style="510" customWidth="1"/>
    <col min="6" max="6" width="20.83203125" style="510" customWidth="1"/>
    <col min="7" max="7" width="53.6640625" style="510" customWidth="1"/>
    <col min="8" max="8" width="4.6640625" style="510" customWidth="1"/>
    <col min="9" max="9" width="8.83203125" style="510"/>
    <col min="10" max="10" width="4.6640625" style="510" customWidth="1"/>
    <col min="11" max="11" width="14.6640625" style="510" customWidth="1"/>
    <col min="12" max="12" width="4.6640625" style="510" customWidth="1"/>
    <col min="13" max="13" width="14.6640625" style="510" customWidth="1"/>
    <col min="14" max="14" width="4.6640625" style="510" customWidth="1"/>
    <col min="15" max="15" width="14.6640625" style="510" customWidth="1"/>
    <col min="16" max="16" width="4.6640625" style="510" customWidth="1"/>
    <col min="17" max="17" width="14.6640625" style="510" customWidth="1"/>
    <col min="18" max="18" width="4.6640625" style="510" customWidth="1"/>
    <col min="19" max="19" width="14.6640625" style="510" customWidth="1"/>
    <col min="20" max="20" width="4.6640625" style="510" customWidth="1"/>
    <col min="21" max="21" width="14.6640625" style="510" customWidth="1"/>
    <col min="22" max="16384" width="8.83203125" style="510"/>
  </cols>
  <sheetData>
    <row r="1" spans="1:23" ht="16" customHeight="1">
      <c r="A1" s="511"/>
      <c r="B1" s="620" t="s">
        <v>236</v>
      </c>
      <c r="C1" s="619"/>
      <c r="D1" s="619"/>
      <c r="E1" s="619"/>
      <c r="F1" s="619"/>
      <c r="G1" s="619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623"/>
    </row>
    <row r="2" spans="1:23" ht="16" customHeight="1">
      <c r="A2" s="511"/>
      <c r="B2" s="511"/>
      <c r="C2" s="511"/>
      <c r="D2" s="511"/>
      <c r="E2" s="511"/>
      <c r="F2" s="511"/>
      <c r="G2" s="511"/>
      <c r="H2" s="511"/>
      <c r="I2" s="511"/>
      <c r="J2" s="221"/>
      <c r="K2" s="375" t="s">
        <v>77</v>
      </c>
      <c r="L2" s="511"/>
      <c r="M2" s="511"/>
      <c r="N2" s="511"/>
      <c r="O2" s="511"/>
      <c r="P2" s="511"/>
      <c r="Q2" s="511"/>
      <c r="R2" s="511"/>
      <c r="S2" s="511"/>
      <c r="T2" s="624"/>
      <c r="U2" s="624"/>
      <c r="V2" s="511"/>
      <c r="W2" s="623"/>
    </row>
    <row r="3" spans="1:23" ht="16" customHeight="1">
      <c r="A3" s="511"/>
      <c r="B3" s="511"/>
      <c r="C3" s="511"/>
      <c r="D3" s="511"/>
      <c r="E3" s="511"/>
      <c r="F3" s="511"/>
      <c r="G3" s="511"/>
      <c r="H3" s="511"/>
      <c r="I3" s="511"/>
      <c r="J3" s="221"/>
      <c r="K3" s="376" t="s">
        <v>78</v>
      </c>
      <c r="L3" s="511"/>
      <c r="M3" s="511"/>
      <c r="N3" s="511"/>
      <c r="O3" s="511"/>
      <c r="P3" s="511"/>
      <c r="Q3" s="511"/>
      <c r="R3" s="511"/>
      <c r="S3" s="511"/>
      <c r="T3" s="624"/>
      <c r="U3" s="624"/>
      <c r="V3" s="511"/>
      <c r="W3" s="623"/>
    </row>
    <row r="4" spans="1:23" ht="16" customHeight="1">
      <c r="A4" s="511"/>
      <c r="B4" s="511"/>
      <c r="C4" s="511"/>
      <c r="D4" s="511"/>
      <c r="E4" s="511"/>
      <c r="F4" s="511"/>
      <c r="G4" s="511"/>
      <c r="H4" s="511"/>
      <c r="I4" s="511"/>
      <c r="J4" s="377" t="s">
        <v>79</v>
      </c>
      <c r="K4" s="378" t="s">
        <v>80</v>
      </c>
      <c r="L4" s="377" t="s">
        <v>79</v>
      </c>
      <c r="M4" s="378" t="s">
        <v>81</v>
      </c>
      <c r="N4" s="377" t="s">
        <v>79</v>
      </c>
      <c r="O4" s="378" t="s">
        <v>82</v>
      </c>
      <c r="P4" s="377" t="s">
        <v>79</v>
      </c>
      <c r="Q4" s="378" t="s">
        <v>83</v>
      </c>
      <c r="R4" s="377" t="s">
        <v>79</v>
      </c>
      <c r="S4" s="378" t="s">
        <v>84</v>
      </c>
      <c r="T4" s="377" t="s">
        <v>79</v>
      </c>
      <c r="U4" s="378" t="s">
        <v>85</v>
      </c>
      <c r="V4" s="511"/>
      <c r="W4" s="623"/>
    </row>
    <row r="5" spans="1:23" ht="16" customHeight="1">
      <c r="A5" s="511"/>
      <c r="B5" s="511"/>
      <c r="C5" s="511"/>
      <c r="D5" s="511"/>
      <c r="E5" s="511"/>
      <c r="F5" s="511"/>
      <c r="G5" s="511"/>
      <c r="H5" s="511"/>
      <c r="I5" s="511"/>
      <c r="J5" s="397">
        <v>1</v>
      </c>
      <c r="K5" s="396" t="s">
        <v>237</v>
      </c>
      <c r="L5" s="397">
        <v>1</v>
      </c>
      <c r="M5" s="396" t="s">
        <v>237</v>
      </c>
      <c r="N5" s="397">
        <v>1</v>
      </c>
      <c r="O5" s="396" t="s">
        <v>237</v>
      </c>
      <c r="P5" s="397">
        <v>1</v>
      </c>
      <c r="Q5" s="396" t="s">
        <v>237</v>
      </c>
      <c r="R5" s="397">
        <v>1</v>
      </c>
      <c r="S5" s="396" t="s">
        <v>237</v>
      </c>
      <c r="T5" s="397">
        <v>1</v>
      </c>
      <c r="U5" s="396" t="s">
        <v>237</v>
      </c>
      <c r="V5" s="511"/>
      <c r="W5" s="623"/>
    </row>
    <row r="6" spans="1:23" ht="16" customHeight="1">
      <c r="A6" s="511"/>
      <c r="B6" s="511"/>
      <c r="C6" s="511"/>
      <c r="D6" s="511"/>
      <c r="E6" s="511"/>
      <c r="F6" s="511"/>
      <c r="G6" s="511"/>
      <c r="H6" s="511"/>
      <c r="I6" s="511"/>
      <c r="J6" s="398"/>
      <c r="K6" s="389">
        <f>K38</f>
        <v>15</v>
      </c>
      <c r="L6" s="398"/>
      <c r="M6" s="389">
        <f>M38</f>
        <v>15</v>
      </c>
      <c r="N6" s="398"/>
      <c r="O6" s="389">
        <f>O38</f>
        <v>15</v>
      </c>
      <c r="P6" s="398"/>
      <c r="Q6" s="389">
        <f>Q38</f>
        <v>15</v>
      </c>
      <c r="R6" s="398"/>
      <c r="S6" s="389">
        <f>S38</f>
        <v>15</v>
      </c>
      <c r="T6" s="398"/>
      <c r="U6" s="389">
        <f>U38</f>
        <v>15</v>
      </c>
      <c r="V6" s="511"/>
      <c r="W6" s="623"/>
    </row>
    <row r="7" spans="1:23" ht="16" customHeight="1">
      <c r="A7" s="511"/>
      <c r="B7" s="511"/>
      <c r="C7" s="511"/>
      <c r="D7" s="511"/>
      <c r="E7" s="511"/>
      <c r="F7" s="511"/>
      <c r="G7" s="511"/>
      <c r="H7" s="511"/>
      <c r="I7" s="511"/>
      <c r="J7" s="385">
        <v>2</v>
      </c>
      <c r="K7" s="380" t="s">
        <v>86</v>
      </c>
      <c r="L7" s="385">
        <v>2</v>
      </c>
      <c r="M7" s="380" t="s">
        <v>88</v>
      </c>
      <c r="N7" s="385">
        <v>2</v>
      </c>
      <c r="O7" s="380" t="s">
        <v>88</v>
      </c>
      <c r="P7" s="385">
        <v>2</v>
      </c>
      <c r="Q7" s="380" t="s">
        <v>88</v>
      </c>
      <c r="R7" s="385">
        <v>2</v>
      </c>
      <c r="S7" s="380" t="s">
        <v>88</v>
      </c>
      <c r="T7" s="385">
        <v>2</v>
      </c>
      <c r="U7" s="625" t="s">
        <v>89</v>
      </c>
      <c r="V7" s="511"/>
      <c r="W7" s="623"/>
    </row>
    <row r="8" spans="1:23" ht="16" customHeight="1">
      <c r="A8" s="511"/>
      <c r="B8" s="511"/>
      <c r="C8" s="511"/>
      <c r="D8" s="511"/>
      <c r="E8" s="511"/>
      <c r="F8" s="511"/>
      <c r="G8" s="511"/>
      <c r="H8" s="511"/>
      <c r="I8" s="511"/>
      <c r="J8" s="385"/>
      <c r="K8" s="626">
        <f>K39</f>
        <v>206.28</v>
      </c>
      <c r="L8" s="385"/>
      <c r="M8" s="382">
        <f>M41</f>
        <v>405</v>
      </c>
      <c r="N8" s="385"/>
      <c r="O8" s="382">
        <f>O41</f>
        <v>35</v>
      </c>
      <c r="P8" s="385"/>
      <c r="Q8" s="382">
        <f>Q41</f>
        <v>69</v>
      </c>
      <c r="R8" s="385"/>
      <c r="S8" s="382">
        <f>S41</f>
        <v>69</v>
      </c>
      <c r="T8" s="385"/>
      <c r="U8" s="627">
        <f>U42</f>
        <v>27</v>
      </c>
      <c r="V8" s="511"/>
      <c r="W8" s="623"/>
    </row>
    <row r="9" spans="1:23" ht="16" customHeight="1">
      <c r="A9" s="511"/>
      <c r="B9" s="511"/>
      <c r="C9" s="511"/>
      <c r="D9" s="511"/>
      <c r="E9" s="511"/>
      <c r="F9" s="511"/>
      <c r="G9" s="511"/>
      <c r="H9" s="511"/>
      <c r="I9" s="511"/>
      <c r="J9" s="379">
        <v>3</v>
      </c>
      <c r="K9" s="625" t="s">
        <v>90</v>
      </c>
      <c r="L9" s="379">
        <v>3</v>
      </c>
      <c r="M9" s="625" t="s">
        <v>89</v>
      </c>
      <c r="N9" s="379">
        <v>3</v>
      </c>
      <c r="O9" s="386" t="s">
        <v>238</v>
      </c>
      <c r="P9" s="379">
        <v>3</v>
      </c>
      <c r="Q9" s="386" t="s">
        <v>238</v>
      </c>
      <c r="R9" s="379">
        <v>3</v>
      </c>
      <c r="S9" s="380" t="s">
        <v>238</v>
      </c>
      <c r="T9" s="379">
        <v>3</v>
      </c>
      <c r="U9" s="386" t="s">
        <v>238</v>
      </c>
      <c r="V9" s="511"/>
      <c r="W9" s="623"/>
    </row>
    <row r="10" spans="1:23" ht="16" customHeight="1">
      <c r="A10" s="511"/>
      <c r="B10" s="511"/>
      <c r="C10" s="511"/>
      <c r="D10" s="511"/>
      <c r="E10" s="511"/>
      <c r="F10" s="511"/>
      <c r="G10" s="511"/>
      <c r="H10" s="511"/>
      <c r="I10" s="511"/>
      <c r="J10" s="381"/>
      <c r="K10" s="627">
        <f>K40</f>
        <v>10</v>
      </c>
      <c r="L10" s="381"/>
      <c r="M10" s="627">
        <f>M42</f>
        <v>108</v>
      </c>
      <c r="N10" s="381"/>
      <c r="O10" s="388">
        <f>O43</f>
        <v>50</v>
      </c>
      <c r="P10" s="381"/>
      <c r="Q10" s="628">
        <f>Q43</f>
        <v>84</v>
      </c>
      <c r="R10" s="381"/>
      <c r="S10" s="382">
        <f>S43</f>
        <v>84</v>
      </c>
      <c r="T10" s="381"/>
      <c r="U10" s="388">
        <f>U43</f>
        <v>42</v>
      </c>
      <c r="V10" s="511"/>
      <c r="W10" s="623"/>
    </row>
    <row r="11" spans="1:23" ht="16" customHeight="1">
      <c r="A11" s="511"/>
      <c r="B11" s="511"/>
      <c r="C11" s="511"/>
      <c r="D11" s="511"/>
      <c r="E11" s="511"/>
      <c r="F11" s="511"/>
      <c r="G11" s="511"/>
      <c r="H11" s="511"/>
      <c r="I11" s="511"/>
      <c r="J11" s="385">
        <v>4</v>
      </c>
      <c r="K11" s="386" t="s">
        <v>238</v>
      </c>
      <c r="L11" s="385">
        <v>4</v>
      </c>
      <c r="M11" s="386" t="s">
        <v>238</v>
      </c>
      <c r="N11" s="379">
        <v>4</v>
      </c>
      <c r="O11" s="380" t="s">
        <v>239</v>
      </c>
      <c r="P11" s="379">
        <v>4</v>
      </c>
      <c r="Q11" s="380" t="s">
        <v>240</v>
      </c>
      <c r="R11" s="379">
        <v>4</v>
      </c>
      <c r="S11" s="629" t="s">
        <v>240</v>
      </c>
      <c r="T11" s="385">
        <v>4</v>
      </c>
      <c r="U11" s="380" t="s">
        <v>241</v>
      </c>
      <c r="V11" s="511"/>
      <c r="W11" s="623"/>
    </row>
    <row r="12" spans="1:23" ht="16" customHeight="1">
      <c r="A12" s="511"/>
      <c r="B12" s="511"/>
      <c r="C12" s="511"/>
      <c r="D12" s="511"/>
      <c r="E12" s="511"/>
      <c r="F12" s="511"/>
      <c r="G12" s="511"/>
      <c r="H12" s="511"/>
      <c r="I12" s="511"/>
      <c r="J12" s="385"/>
      <c r="K12" s="388">
        <f>K43</f>
        <v>231</v>
      </c>
      <c r="L12" s="385"/>
      <c r="M12" s="388">
        <f>M43</f>
        <v>528</v>
      </c>
      <c r="N12" s="381"/>
      <c r="O12" s="382">
        <f>O44</f>
        <v>600</v>
      </c>
      <c r="P12" s="381"/>
      <c r="Q12" s="242">
        <f>Q50</f>
        <v>7680</v>
      </c>
      <c r="R12" s="381"/>
      <c r="S12" s="242">
        <f>S50</f>
        <v>9600</v>
      </c>
      <c r="T12" s="385"/>
      <c r="U12" s="382">
        <f>U55</f>
        <v>42</v>
      </c>
      <c r="V12" s="511"/>
      <c r="W12" s="623"/>
    </row>
    <row r="13" spans="1:23" ht="16" customHeight="1">
      <c r="A13" s="511"/>
      <c r="B13" s="511"/>
      <c r="C13" s="511"/>
      <c r="D13" s="511"/>
      <c r="E13" s="511"/>
      <c r="F13" s="511"/>
      <c r="G13" s="511"/>
      <c r="H13" s="511"/>
      <c r="I13" s="511"/>
      <c r="J13" s="379">
        <v>5</v>
      </c>
      <c r="K13" s="380" t="s">
        <v>241</v>
      </c>
      <c r="L13" s="379">
        <v>5</v>
      </c>
      <c r="M13" s="380" t="s">
        <v>95</v>
      </c>
      <c r="N13" s="379">
        <v>5</v>
      </c>
      <c r="O13" s="380" t="s">
        <v>242</v>
      </c>
      <c r="P13" s="379">
        <v>5</v>
      </c>
      <c r="Q13" s="386" t="s">
        <v>238</v>
      </c>
      <c r="R13" s="379">
        <v>5</v>
      </c>
      <c r="S13" s="630" t="s">
        <v>243</v>
      </c>
      <c r="T13" s="379">
        <v>5</v>
      </c>
      <c r="U13" s="380" t="s">
        <v>99</v>
      </c>
      <c r="V13" s="511"/>
      <c r="W13" s="623"/>
    </row>
    <row r="14" spans="1:23" ht="16" customHeight="1">
      <c r="A14" s="511"/>
      <c r="B14" s="511"/>
      <c r="C14" s="511"/>
      <c r="D14" s="511"/>
      <c r="E14" s="511"/>
      <c r="F14" s="511"/>
      <c r="G14" s="511"/>
      <c r="H14" s="511"/>
      <c r="I14" s="511"/>
      <c r="J14" s="381"/>
      <c r="K14" s="233">
        <f>K55</f>
        <v>231</v>
      </c>
      <c r="L14" s="381"/>
      <c r="M14" s="233">
        <f>M47</f>
        <v>2610</v>
      </c>
      <c r="N14" s="381"/>
      <c r="O14" s="388">
        <f>O45</f>
        <v>7</v>
      </c>
      <c r="P14" s="381"/>
      <c r="Q14" s="242">
        <f>Q53</f>
        <v>7680</v>
      </c>
      <c r="R14" s="381"/>
      <c r="S14" s="388">
        <f>S51</f>
        <v>137</v>
      </c>
      <c r="T14" s="381"/>
      <c r="U14" s="242">
        <f>U56</f>
        <v>0</v>
      </c>
      <c r="V14" s="511"/>
      <c r="W14" s="623"/>
    </row>
    <row r="15" spans="1:23" ht="16" customHeight="1">
      <c r="A15" s="511"/>
      <c r="B15" s="511"/>
      <c r="C15" s="511"/>
      <c r="D15" s="511"/>
      <c r="E15" s="511"/>
      <c r="F15" s="511"/>
      <c r="G15" s="511"/>
      <c r="H15" s="511"/>
      <c r="I15" s="511"/>
      <c r="J15" s="379">
        <v>6</v>
      </c>
      <c r="K15" s="380" t="s">
        <v>99</v>
      </c>
      <c r="L15" s="379">
        <v>6</v>
      </c>
      <c r="M15" s="380" t="s">
        <v>238</v>
      </c>
      <c r="N15" s="379">
        <v>6</v>
      </c>
      <c r="O15" s="380" t="s">
        <v>238</v>
      </c>
      <c r="P15" s="379">
        <v>6</v>
      </c>
      <c r="Q15" s="380" t="s">
        <v>241</v>
      </c>
      <c r="R15" s="379">
        <v>6</v>
      </c>
      <c r="S15" s="631" t="s">
        <v>244</v>
      </c>
      <c r="T15" s="379">
        <v>6</v>
      </c>
      <c r="U15" s="625" t="s">
        <v>97</v>
      </c>
      <c r="V15" s="511"/>
      <c r="W15" s="623"/>
    </row>
    <row r="16" spans="1:23" ht="16" customHeight="1">
      <c r="A16" s="511"/>
      <c r="B16" s="511"/>
      <c r="C16" s="511"/>
      <c r="D16" s="511"/>
      <c r="E16" s="511"/>
      <c r="F16" s="511"/>
      <c r="G16" s="511"/>
      <c r="H16" s="511"/>
      <c r="I16" s="511"/>
      <c r="J16" s="381"/>
      <c r="K16" s="242">
        <f>K56</f>
        <v>2</v>
      </c>
      <c r="L16" s="381"/>
      <c r="M16" s="242">
        <f>M49</f>
        <v>2610</v>
      </c>
      <c r="N16" s="381"/>
      <c r="O16" s="382">
        <f>O46</f>
        <v>607</v>
      </c>
      <c r="P16" s="381"/>
      <c r="Q16" s="242">
        <f>Q55</f>
        <v>7764</v>
      </c>
      <c r="R16" s="381"/>
      <c r="S16" s="242">
        <f>S52</f>
        <v>52</v>
      </c>
      <c r="T16" s="381"/>
      <c r="U16" s="627">
        <f>U57</f>
        <v>1</v>
      </c>
      <c r="V16" s="511"/>
      <c r="W16" s="623"/>
    </row>
    <row r="17" spans="1:23" ht="16" customHeight="1">
      <c r="A17" s="511"/>
      <c r="B17" s="511"/>
      <c r="C17" s="511"/>
      <c r="D17" s="511"/>
      <c r="E17" s="511"/>
      <c r="F17" s="511"/>
      <c r="G17" s="511"/>
      <c r="H17" s="511"/>
      <c r="I17" s="511"/>
      <c r="J17" s="379">
        <v>7</v>
      </c>
      <c r="K17" s="386" t="s">
        <v>97</v>
      </c>
      <c r="L17" s="379">
        <v>7</v>
      </c>
      <c r="M17" s="632" t="s">
        <v>39</v>
      </c>
      <c r="N17" s="397">
        <v>7</v>
      </c>
      <c r="O17" s="633" t="s">
        <v>98</v>
      </c>
      <c r="P17" s="379">
        <v>7</v>
      </c>
      <c r="Q17" s="380" t="s">
        <v>99</v>
      </c>
      <c r="R17" s="379">
        <v>7</v>
      </c>
      <c r="S17" s="386" t="s">
        <v>238</v>
      </c>
      <c r="T17" s="634">
        <v>7</v>
      </c>
      <c r="U17" s="625" t="s">
        <v>245</v>
      </c>
      <c r="V17" s="511"/>
      <c r="W17" s="623"/>
    </row>
    <row r="18" spans="1:23" ht="16" customHeight="1">
      <c r="A18" s="511"/>
      <c r="B18" s="511"/>
      <c r="C18" s="511"/>
      <c r="D18" s="511"/>
      <c r="E18" s="511"/>
      <c r="F18" s="511"/>
      <c r="G18" s="511"/>
      <c r="H18" s="511"/>
      <c r="I18" s="511"/>
      <c r="J18" s="381"/>
      <c r="K18" s="233">
        <f>K57</f>
        <v>7</v>
      </c>
      <c r="L18" s="381"/>
      <c r="M18" s="388">
        <f>M54</f>
        <v>50</v>
      </c>
      <c r="N18" s="398"/>
      <c r="O18" s="246">
        <f>O48</f>
        <v>1300</v>
      </c>
      <c r="P18" s="398"/>
      <c r="Q18" s="242">
        <f>Q56</f>
        <v>78</v>
      </c>
      <c r="R18" s="398"/>
      <c r="S18" s="242">
        <f>S53</f>
        <v>9789</v>
      </c>
      <c r="T18" s="398"/>
      <c r="U18" s="627">
        <f>U58</f>
        <v>43</v>
      </c>
      <c r="V18" s="511"/>
      <c r="W18" s="623"/>
    </row>
    <row r="19" spans="1:23" ht="16" customHeight="1">
      <c r="A19" s="511"/>
      <c r="B19" s="511"/>
      <c r="C19" s="511"/>
      <c r="D19" s="511"/>
      <c r="E19" s="511"/>
      <c r="F19" s="511"/>
      <c r="G19" s="511"/>
      <c r="H19" s="511"/>
      <c r="I19" s="511"/>
      <c r="J19" s="379">
        <v>8</v>
      </c>
      <c r="K19" s="380" t="s">
        <v>147</v>
      </c>
      <c r="L19" s="379">
        <v>8</v>
      </c>
      <c r="M19" s="380" t="s">
        <v>241</v>
      </c>
      <c r="N19" s="379">
        <v>8</v>
      </c>
      <c r="O19" s="380" t="s">
        <v>238</v>
      </c>
      <c r="P19" s="379">
        <v>8</v>
      </c>
      <c r="Q19" s="386" t="s">
        <v>97</v>
      </c>
      <c r="R19" s="379">
        <v>8</v>
      </c>
      <c r="S19" s="380" t="s">
        <v>241</v>
      </c>
      <c r="T19" s="379">
        <v>8</v>
      </c>
      <c r="U19" s="624"/>
      <c r="V19" s="511"/>
      <c r="W19" s="623"/>
    </row>
    <row r="20" spans="1:23" ht="16" customHeight="1">
      <c r="A20" s="511"/>
      <c r="B20" s="511"/>
      <c r="C20" s="511"/>
      <c r="D20" s="511"/>
      <c r="E20" s="511"/>
      <c r="F20" s="511"/>
      <c r="G20" s="511"/>
      <c r="H20" s="511"/>
      <c r="I20" s="511"/>
      <c r="J20" s="381"/>
      <c r="K20" s="242">
        <f>K58</f>
        <v>240</v>
      </c>
      <c r="L20" s="381"/>
      <c r="M20" s="242">
        <f>M55</f>
        <v>3188</v>
      </c>
      <c r="N20" s="381"/>
      <c r="O20" s="242">
        <f>O49</f>
        <v>1300</v>
      </c>
      <c r="P20" s="381"/>
      <c r="Q20" s="626">
        <f>Q57</f>
        <v>233</v>
      </c>
      <c r="R20" s="381"/>
      <c r="S20" s="242">
        <f>S55</f>
        <v>9873</v>
      </c>
      <c r="T20" s="381"/>
      <c r="U20" s="624"/>
      <c r="V20" s="511"/>
      <c r="W20" s="623"/>
    </row>
    <row r="21" spans="1:23" ht="16" customHeight="1">
      <c r="A21" s="511"/>
      <c r="B21" s="511"/>
      <c r="C21" s="511"/>
      <c r="D21" s="511"/>
      <c r="E21" s="511"/>
      <c r="F21" s="511"/>
      <c r="G21" s="511"/>
      <c r="H21" s="511"/>
      <c r="I21" s="511"/>
      <c r="J21" s="511"/>
      <c r="K21" s="511"/>
      <c r="L21" s="379">
        <v>9</v>
      </c>
      <c r="M21" s="380" t="s">
        <v>99</v>
      </c>
      <c r="N21" s="379">
        <v>9</v>
      </c>
      <c r="O21" s="380" t="s">
        <v>240</v>
      </c>
      <c r="P21" s="379">
        <v>9</v>
      </c>
      <c r="Q21" s="380" t="s">
        <v>245</v>
      </c>
      <c r="R21" s="379">
        <v>9</v>
      </c>
      <c r="S21" s="380" t="s">
        <v>99</v>
      </c>
      <c r="T21" s="379">
        <v>9</v>
      </c>
      <c r="U21" s="624"/>
      <c r="V21" s="511"/>
      <c r="W21" s="623"/>
    </row>
    <row r="22" spans="1:23" ht="16" customHeight="1">
      <c r="A22" s="511"/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L22" s="381"/>
      <c r="M22" s="242">
        <f>M56</f>
        <v>32</v>
      </c>
      <c r="N22" s="381"/>
      <c r="O22" s="242">
        <f>O50</f>
        <v>1920</v>
      </c>
      <c r="P22" s="385"/>
      <c r="Q22" s="233">
        <f>Q58</f>
        <v>8075</v>
      </c>
      <c r="R22" s="381"/>
      <c r="S22" s="242">
        <f>S56</f>
        <v>99</v>
      </c>
      <c r="T22" s="381"/>
      <c r="U22" s="624"/>
      <c r="V22" s="511"/>
      <c r="W22" s="623"/>
    </row>
    <row r="23" spans="1:23" ht="16" customHeight="1">
      <c r="A23" s="511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379">
        <v>10</v>
      </c>
      <c r="M23" s="386" t="s">
        <v>97</v>
      </c>
      <c r="N23" s="379">
        <v>10</v>
      </c>
      <c r="O23" s="635" t="s">
        <v>238</v>
      </c>
      <c r="P23" s="636"/>
      <c r="Q23" s="637"/>
      <c r="R23" s="638">
        <v>10</v>
      </c>
      <c r="S23" s="635" t="s">
        <v>97</v>
      </c>
      <c r="T23" s="379">
        <v>10</v>
      </c>
      <c r="U23" s="624"/>
      <c r="V23" s="511"/>
      <c r="W23" s="623"/>
    </row>
    <row r="24" spans="1:23" ht="16" customHeight="1">
      <c r="A24" s="511"/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381"/>
      <c r="M24" s="242">
        <f>M57</f>
        <v>96</v>
      </c>
      <c r="N24" s="381"/>
      <c r="O24" s="639">
        <f>O53</f>
        <v>1920</v>
      </c>
      <c r="P24" s="640"/>
      <c r="Q24" s="641"/>
      <c r="R24" s="642"/>
      <c r="S24" s="643">
        <f>S57</f>
        <v>296</v>
      </c>
      <c r="T24" s="381"/>
      <c r="U24" s="624"/>
      <c r="V24" s="511"/>
      <c r="W24" s="623"/>
    </row>
    <row r="25" spans="1:23" ht="16" customHeight="1">
      <c r="A25" s="511"/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379">
        <v>11</v>
      </c>
      <c r="M25" s="380" t="s">
        <v>245</v>
      </c>
      <c r="N25" s="379">
        <v>11</v>
      </c>
      <c r="O25" s="644" t="s">
        <v>39</v>
      </c>
      <c r="P25" s="645"/>
      <c r="Q25" s="646"/>
      <c r="R25" s="638">
        <v>11</v>
      </c>
      <c r="S25" s="644" t="s">
        <v>245</v>
      </c>
      <c r="T25" s="379">
        <v>11</v>
      </c>
      <c r="U25" s="624"/>
      <c r="V25" s="511"/>
      <c r="W25" s="623"/>
    </row>
    <row r="26" spans="1:23" ht="16" customHeight="1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381"/>
      <c r="M26" s="242">
        <f>M58</f>
        <v>3316</v>
      </c>
      <c r="N26" s="381"/>
      <c r="O26" s="643">
        <f>O54</f>
        <v>50</v>
      </c>
      <c r="P26" s="645"/>
      <c r="Q26" s="641"/>
      <c r="R26" s="647"/>
      <c r="S26" s="639">
        <f>S58</f>
        <v>10268</v>
      </c>
      <c r="T26" s="381"/>
      <c r="U26" s="624"/>
      <c r="V26" s="511"/>
      <c r="W26" s="623"/>
    </row>
    <row r="27" spans="1:23" ht="16" customHeight="1">
      <c r="A27" s="511"/>
      <c r="B27" s="511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379">
        <v>12</v>
      </c>
      <c r="O27" s="644" t="s">
        <v>241</v>
      </c>
      <c r="P27" s="645"/>
      <c r="Q27" s="648"/>
      <c r="R27" s="649"/>
      <c r="S27" s="511"/>
      <c r="U27" s="624"/>
      <c r="V27" s="511"/>
      <c r="W27" s="623"/>
    </row>
    <row r="28" spans="1:23" ht="16" customHeight="1">
      <c r="A28" s="511"/>
      <c r="B28" s="511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381"/>
      <c r="O28" s="639">
        <f>O55</f>
        <v>3927</v>
      </c>
      <c r="P28" s="645"/>
      <c r="Q28" s="650"/>
      <c r="R28" s="651"/>
      <c r="S28" s="511"/>
      <c r="U28" s="624"/>
      <c r="V28" s="511"/>
      <c r="W28" s="623"/>
    </row>
    <row r="29" spans="1:23" ht="16" customHeight="1">
      <c r="A29" s="511"/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379">
        <v>13</v>
      </c>
      <c r="O29" s="644" t="s">
        <v>99</v>
      </c>
      <c r="P29" s="645"/>
      <c r="Q29" s="511"/>
      <c r="R29" s="651"/>
      <c r="S29" s="511"/>
      <c r="T29" s="651"/>
      <c r="U29" s="624"/>
      <c r="V29" s="511"/>
      <c r="W29" s="623"/>
    </row>
    <row r="30" spans="1:23" ht="16" customHeight="1">
      <c r="A30" s="511"/>
      <c r="B30" s="511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381"/>
      <c r="O30" s="639">
        <f>O56</f>
        <v>39</v>
      </c>
      <c r="P30" s="645"/>
      <c r="Q30" s="511"/>
      <c r="R30" s="651"/>
      <c r="S30" s="511"/>
      <c r="T30" s="651"/>
      <c r="U30" s="624"/>
      <c r="V30" s="511"/>
      <c r="W30" s="623"/>
    </row>
    <row r="31" spans="1:23" ht="16" customHeight="1">
      <c r="A31" s="511"/>
      <c r="B31" s="511"/>
      <c r="C31" s="511"/>
      <c r="D31" s="511"/>
      <c r="E31" s="511"/>
      <c r="F31" s="511"/>
      <c r="G31" s="511"/>
      <c r="H31" s="511"/>
      <c r="I31" s="511"/>
      <c r="J31" s="511"/>
      <c r="K31" s="511"/>
      <c r="L31" s="511"/>
      <c r="M31" s="511"/>
      <c r="N31" s="379">
        <v>14</v>
      </c>
      <c r="O31" s="635" t="s">
        <v>97</v>
      </c>
      <c r="P31" s="645"/>
      <c r="Q31" s="511"/>
      <c r="R31" s="651"/>
      <c r="S31" s="511"/>
      <c r="T31" s="651"/>
      <c r="U31" s="624"/>
      <c r="V31" s="511"/>
      <c r="W31" s="623"/>
    </row>
    <row r="32" spans="1:23" ht="16" customHeight="1">
      <c r="A32" s="511"/>
      <c r="B32" s="511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381"/>
      <c r="O32" s="639">
        <f>O57</f>
        <v>118</v>
      </c>
      <c r="P32" s="645"/>
      <c r="Q32" s="511"/>
      <c r="R32" s="651"/>
      <c r="S32" s="511"/>
      <c r="T32" s="651"/>
      <c r="U32" s="624"/>
      <c r="V32" s="511"/>
      <c r="W32" s="623"/>
    </row>
    <row r="33" spans="1:26" ht="16" customHeight="1">
      <c r="A33" s="511"/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379">
        <v>15</v>
      </c>
      <c r="O33" s="644" t="s">
        <v>245</v>
      </c>
      <c r="P33" s="645"/>
      <c r="Q33" s="511"/>
      <c r="R33" s="651"/>
      <c r="S33" s="511"/>
      <c r="T33" s="651"/>
      <c r="U33" s="624"/>
      <c r="V33" s="511"/>
      <c r="W33" s="623"/>
    </row>
    <row r="34" spans="1:26" ht="16" customHeight="1">
      <c r="A34" s="511"/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381"/>
      <c r="O34" s="639">
        <f>O58</f>
        <v>4084</v>
      </c>
      <c r="P34" s="645"/>
      <c r="Q34" s="511"/>
      <c r="R34" s="651"/>
      <c r="S34" s="511"/>
      <c r="T34" s="651"/>
      <c r="U34" s="624"/>
      <c r="V34" s="511"/>
      <c r="W34" s="623"/>
    </row>
    <row r="35" spans="1:26" ht="16" customHeight="1">
      <c r="A35" s="511"/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651"/>
      <c r="U35" s="624"/>
      <c r="V35" s="511"/>
      <c r="W35" s="623"/>
    </row>
    <row r="36" spans="1:26" ht="16" customHeight="1">
      <c r="A36" s="511"/>
      <c r="B36" s="620" t="s">
        <v>246</v>
      </c>
      <c r="C36" s="619"/>
      <c r="D36" s="619"/>
      <c r="E36" s="619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652"/>
      <c r="U36" s="653" t="s">
        <v>247</v>
      </c>
      <c r="V36" s="511"/>
      <c r="W36" s="623"/>
    </row>
    <row r="37" spans="1:26" ht="16" customHeight="1">
      <c r="A37" s="511"/>
      <c r="B37" s="654"/>
      <c r="C37" s="601"/>
      <c r="D37" s="601"/>
      <c r="E37" s="600"/>
      <c r="F37" s="602"/>
      <c r="G37" s="655" t="s">
        <v>248</v>
      </c>
      <c r="H37" s="656" t="s">
        <v>249</v>
      </c>
      <c r="I37" s="602"/>
      <c r="J37" s="657" t="s">
        <v>9</v>
      </c>
      <c r="K37" s="602"/>
      <c r="L37" s="657" t="s">
        <v>10</v>
      </c>
      <c r="M37" s="602"/>
      <c r="N37" s="657" t="s">
        <v>11</v>
      </c>
      <c r="O37" s="602"/>
      <c r="P37" s="657" t="s">
        <v>12</v>
      </c>
      <c r="Q37" s="602"/>
      <c r="R37" s="657" t="s">
        <v>13</v>
      </c>
      <c r="S37" s="602"/>
      <c r="T37" s="658" t="s">
        <v>14</v>
      </c>
      <c r="U37" s="616"/>
      <c r="V37" s="511"/>
      <c r="W37" s="623"/>
    </row>
    <row r="38" spans="1:26" ht="16" customHeight="1" thickBot="1">
      <c r="A38" s="511"/>
      <c r="B38" s="659" t="s">
        <v>250</v>
      </c>
      <c r="C38" s="660" t="s">
        <v>16</v>
      </c>
      <c r="D38" s="612"/>
      <c r="E38" s="661" t="s">
        <v>237</v>
      </c>
      <c r="F38" s="602"/>
      <c r="G38" s="662" t="s">
        <v>251</v>
      </c>
      <c r="H38" s="663"/>
      <c r="I38" s="664">
        <f>K38+M38+O38+Q38+S38+U38</f>
        <v>90</v>
      </c>
      <c r="J38" s="665"/>
      <c r="K38" s="666">
        <v>15</v>
      </c>
      <c r="L38" s="667"/>
      <c r="M38" s="666">
        <v>15</v>
      </c>
      <c r="N38" s="667"/>
      <c r="O38" s="666">
        <v>15</v>
      </c>
      <c r="P38" s="667"/>
      <c r="Q38" s="666">
        <v>15</v>
      </c>
      <c r="R38" s="667"/>
      <c r="S38" s="666">
        <v>15</v>
      </c>
      <c r="T38" s="667"/>
      <c r="U38" s="666">
        <v>15</v>
      </c>
      <c r="V38" s="511"/>
      <c r="W38" s="623"/>
    </row>
    <row r="39" spans="1:26" ht="16" customHeight="1" thickTop="1" thickBot="1">
      <c r="A39" s="511"/>
      <c r="B39" s="608"/>
      <c r="C39" s="613"/>
      <c r="D39" s="614"/>
      <c r="E39" s="661" t="s">
        <v>86</v>
      </c>
      <c r="F39" s="602"/>
      <c r="G39" s="662" t="s">
        <v>252</v>
      </c>
      <c r="H39" s="668" t="s">
        <v>198</v>
      </c>
      <c r="I39" s="669">
        <f t="shared" ref="I39:I40" si="0">K39</f>
        <v>206.28</v>
      </c>
      <c r="J39" s="665"/>
      <c r="K39" s="670">
        <f>ROUND(48000*400*0.84/100,0)/1000+(9000*5)/1000</f>
        <v>206.28</v>
      </c>
      <c r="L39" s="667"/>
      <c r="M39" s="671"/>
      <c r="N39" s="667"/>
      <c r="O39" s="671"/>
      <c r="P39" s="667"/>
      <c r="Q39" s="671"/>
      <c r="R39" s="667"/>
      <c r="S39" s="671"/>
      <c r="T39" s="667"/>
      <c r="U39" s="671"/>
      <c r="V39" s="511"/>
      <c r="W39" s="623"/>
    </row>
    <row r="40" spans="1:26" ht="16" customHeight="1" thickTop="1" thickBot="1">
      <c r="A40" s="511"/>
      <c r="B40" s="608"/>
      <c r="C40" s="613"/>
      <c r="D40" s="614"/>
      <c r="E40" s="661" t="s">
        <v>90</v>
      </c>
      <c r="F40" s="602"/>
      <c r="G40" s="662" t="s">
        <v>253</v>
      </c>
      <c r="H40" s="96" t="s">
        <v>200</v>
      </c>
      <c r="I40" s="672">
        <f t="shared" si="0"/>
        <v>10</v>
      </c>
      <c r="J40" s="665"/>
      <c r="K40" s="673">
        <f>10*1000/1000</f>
        <v>10</v>
      </c>
      <c r="L40" s="674"/>
      <c r="M40" s="675"/>
      <c r="N40" s="667"/>
      <c r="O40" s="671"/>
      <c r="P40" s="667"/>
      <c r="Q40" s="671"/>
      <c r="R40" s="667"/>
      <c r="S40" s="671"/>
      <c r="T40" s="667"/>
      <c r="U40" s="671"/>
      <c r="V40" s="511"/>
      <c r="W40" s="623"/>
      <c r="Z40" s="676">
        <v>10000</v>
      </c>
    </row>
    <row r="41" spans="1:26" ht="16" customHeight="1" thickTop="1" thickBot="1">
      <c r="A41" s="511"/>
      <c r="B41" s="608"/>
      <c r="C41" s="613"/>
      <c r="D41" s="614"/>
      <c r="E41" s="661" t="s">
        <v>88</v>
      </c>
      <c r="F41" s="602"/>
      <c r="G41" s="662" t="s">
        <v>254</v>
      </c>
      <c r="H41" s="663"/>
      <c r="I41" s="664">
        <f>SUM(K41:U41)</f>
        <v>578</v>
      </c>
      <c r="J41" s="665"/>
      <c r="K41" s="677"/>
      <c r="L41" s="678" t="s">
        <v>204</v>
      </c>
      <c r="M41" s="679">
        <f>ROUND(19200*3.01/100*(100-30)/100,0)</f>
        <v>405</v>
      </c>
      <c r="N41" s="667"/>
      <c r="O41" s="673">
        <f>ROUND((19200*3.01/100)*30/100*6/30,0)</f>
        <v>35</v>
      </c>
      <c r="P41" s="667"/>
      <c r="Q41" s="673">
        <f>ROUND((19200*3.01/100)*30/100*12/30,0)</f>
        <v>69</v>
      </c>
      <c r="R41" s="667"/>
      <c r="S41" s="673">
        <f>ROUND((19200*3.01/100)*30/100*12/30,0)</f>
        <v>69</v>
      </c>
      <c r="T41" s="667"/>
      <c r="U41" s="671"/>
      <c r="V41" s="511"/>
      <c r="W41" s="623"/>
    </row>
    <row r="42" spans="1:26" ht="16" customHeight="1" thickTop="1" thickBot="1">
      <c r="A42" s="511"/>
      <c r="B42" s="608"/>
      <c r="C42" s="613"/>
      <c r="D42" s="614"/>
      <c r="E42" s="661" t="s">
        <v>91</v>
      </c>
      <c r="F42" s="602"/>
      <c r="G42" s="662" t="s">
        <v>255</v>
      </c>
      <c r="H42" s="96" t="s">
        <v>205</v>
      </c>
      <c r="I42" s="672">
        <f>M42+U42</f>
        <v>135</v>
      </c>
      <c r="J42" s="665"/>
      <c r="K42" s="680"/>
      <c r="L42" s="681"/>
      <c r="M42" s="682">
        <f>9000*15*80/100/1000</f>
        <v>108</v>
      </c>
      <c r="N42" s="667"/>
      <c r="O42" s="680"/>
      <c r="P42" s="667"/>
      <c r="Q42" s="680"/>
      <c r="R42" s="667"/>
      <c r="S42" s="680"/>
      <c r="T42" s="667"/>
      <c r="U42" s="673">
        <f>9000*15*20/100/1000</f>
        <v>27</v>
      </c>
      <c r="V42" s="511"/>
      <c r="W42" s="623"/>
      <c r="Z42" s="676">
        <v>25000</v>
      </c>
    </row>
    <row r="43" spans="1:26" ht="16" customHeight="1" thickTop="1" thickBot="1">
      <c r="A43" s="511"/>
      <c r="B43" s="608"/>
      <c r="C43" s="615"/>
      <c r="D43" s="616"/>
      <c r="E43" s="656" t="s">
        <v>238</v>
      </c>
      <c r="F43" s="602"/>
      <c r="G43" s="662"/>
      <c r="H43" s="663"/>
      <c r="I43" s="683">
        <f>SUM(I38:I42)</f>
        <v>1019.28</v>
      </c>
      <c r="J43" s="665"/>
      <c r="K43" s="673">
        <f>ROUND(SUM(K38:K42),0)</f>
        <v>231</v>
      </c>
      <c r="L43" s="684"/>
      <c r="M43" s="673">
        <f>SUM(M38:M42)</f>
        <v>528</v>
      </c>
      <c r="N43" s="667"/>
      <c r="O43" s="673">
        <f>SUM(O38:O42)</f>
        <v>50</v>
      </c>
      <c r="P43" s="667"/>
      <c r="Q43" s="670">
        <f>SUM(Q38:Q42)</f>
        <v>84</v>
      </c>
      <c r="R43" s="667"/>
      <c r="S43" s="673">
        <f>SUM(S38:S42)</f>
        <v>84</v>
      </c>
      <c r="T43" s="667"/>
      <c r="U43" s="673">
        <f>SUM(U38:U42)</f>
        <v>42</v>
      </c>
      <c r="V43" s="511"/>
      <c r="W43" s="623"/>
    </row>
    <row r="44" spans="1:26" ht="16" customHeight="1" thickTop="1" thickBot="1">
      <c r="A44" s="511"/>
      <c r="B44" s="608"/>
      <c r="C44" s="660" t="s">
        <v>27</v>
      </c>
      <c r="D44" s="612"/>
      <c r="E44" s="661" t="s">
        <v>239</v>
      </c>
      <c r="F44" s="602"/>
      <c r="G44" s="662" t="s">
        <v>256</v>
      </c>
      <c r="H44" s="96" t="s">
        <v>207</v>
      </c>
      <c r="I44" s="672">
        <f t="shared" ref="I44:I45" si="1">O44</f>
        <v>600</v>
      </c>
      <c r="J44" s="665"/>
      <c r="K44" s="680"/>
      <c r="L44" s="667"/>
      <c r="M44" s="680"/>
      <c r="N44" s="667"/>
      <c r="O44" s="673">
        <f>15000*40/1000</f>
        <v>600</v>
      </c>
      <c r="P44" s="667"/>
      <c r="Q44" s="680"/>
      <c r="R44" s="667"/>
      <c r="S44" s="680"/>
      <c r="T44" s="667"/>
      <c r="U44" s="680"/>
      <c r="V44" s="511"/>
      <c r="W44" s="623"/>
    </row>
    <row r="45" spans="1:26" ht="16" customHeight="1" thickTop="1">
      <c r="A45" s="511"/>
      <c r="B45" s="608"/>
      <c r="C45" s="613"/>
      <c r="D45" s="614"/>
      <c r="E45" s="661" t="s">
        <v>242</v>
      </c>
      <c r="F45" s="602"/>
      <c r="G45" s="662" t="s">
        <v>257</v>
      </c>
      <c r="H45" s="663"/>
      <c r="I45" s="664">
        <f t="shared" si="1"/>
        <v>7</v>
      </c>
      <c r="J45" s="665"/>
      <c r="K45" s="680"/>
      <c r="L45" s="667"/>
      <c r="M45" s="680"/>
      <c r="N45" s="667"/>
      <c r="O45" s="673">
        <f>ROUND(7200*1/1000,0)</f>
        <v>7</v>
      </c>
      <c r="P45" s="667"/>
      <c r="Q45" s="680"/>
      <c r="R45" s="667"/>
      <c r="S45" s="680"/>
      <c r="T45" s="667"/>
      <c r="U45" s="680"/>
      <c r="V45" s="511"/>
      <c r="W45" s="623"/>
    </row>
    <row r="46" spans="1:26" ht="16" customHeight="1" thickBot="1">
      <c r="A46" s="511"/>
      <c r="B46" s="608"/>
      <c r="C46" s="615"/>
      <c r="D46" s="616"/>
      <c r="E46" s="656" t="s">
        <v>238</v>
      </c>
      <c r="F46" s="602"/>
      <c r="G46" s="662"/>
      <c r="H46" s="663"/>
      <c r="I46" s="664">
        <f>I44+I45</f>
        <v>607</v>
      </c>
      <c r="J46" s="665"/>
      <c r="K46" s="680"/>
      <c r="L46" s="667"/>
      <c r="M46" s="680"/>
      <c r="N46" s="667"/>
      <c r="O46" s="673">
        <f>O44+O45</f>
        <v>607</v>
      </c>
      <c r="P46" s="667"/>
      <c r="Q46" s="680"/>
      <c r="R46" s="667"/>
      <c r="S46" s="680"/>
      <c r="T46" s="667"/>
      <c r="U46" s="680"/>
      <c r="V46" s="511"/>
      <c r="W46" s="623"/>
    </row>
    <row r="47" spans="1:26" ht="16" customHeight="1" thickTop="1" thickBot="1">
      <c r="A47" s="511"/>
      <c r="B47" s="608"/>
      <c r="C47" s="660" t="s">
        <v>30</v>
      </c>
      <c r="D47" s="612"/>
      <c r="E47" s="661" t="s">
        <v>95</v>
      </c>
      <c r="F47" s="602"/>
      <c r="G47" s="662" t="s">
        <v>258</v>
      </c>
      <c r="H47" s="96" t="s">
        <v>208</v>
      </c>
      <c r="I47" s="685">
        <f>M47</f>
        <v>2610</v>
      </c>
      <c r="J47" s="665"/>
      <c r="K47" s="680"/>
      <c r="L47" s="667"/>
      <c r="M47" s="686">
        <f>(7500*30/100)+(1200*30/100)</f>
        <v>2610</v>
      </c>
      <c r="N47" s="667"/>
      <c r="O47" s="671"/>
      <c r="P47" s="667"/>
      <c r="Q47" s="680"/>
      <c r="R47" s="667"/>
      <c r="S47" s="680"/>
      <c r="T47" s="667"/>
      <c r="U47" s="680"/>
      <c r="V47" s="511"/>
      <c r="W47" s="623"/>
    </row>
    <row r="48" spans="1:26" ht="16" customHeight="1" thickTop="1">
      <c r="A48" s="511"/>
      <c r="B48" s="608"/>
      <c r="C48" s="613"/>
      <c r="D48" s="614"/>
      <c r="E48" s="661" t="s">
        <v>98</v>
      </c>
      <c r="F48" s="602"/>
      <c r="G48" s="662" t="s">
        <v>258</v>
      </c>
      <c r="H48" s="663"/>
      <c r="I48" s="683">
        <f>O48</f>
        <v>1300</v>
      </c>
      <c r="J48" s="665"/>
      <c r="K48" s="687"/>
      <c r="L48" s="667"/>
      <c r="M48" s="680"/>
      <c r="N48" s="667"/>
      <c r="O48" s="688">
        <v>1300</v>
      </c>
      <c r="P48" s="667"/>
      <c r="Q48" s="687"/>
      <c r="R48" s="667"/>
      <c r="S48" s="680"/>
      <c r="T48" s="667"/>
      <c r="U48" s="680"/>
      <c r="V48" s="511"/>
      <c r="W48" s="623"/>
    </row>
    <row r="49" spans="1:23" ht="16" customHeight="1">
      <c r="A49" s="511"/>
      <c r="B49" s="608"/>
      <c r="C49" s="615"/>
      <c r="D49" s="616"/>
      <c r="E49" s="656" t="s">
        <v>238</v>
      </c>
      <c r="F49" s="602"/>
      <c r="G49" s="662"/>
      <c r="H49" s="102"/>
      <c r="I49" s="689">
        <f>I47+I48</f>
        <v>3910</v>
      </c>
      <c r="J49" s="665"/>
      <c r="K49" s="680"/>
      <c r="L49" s="667"/>
      <c r="M49" s="686">
        <f>M47+M48</f>
        <v>2610</v>
      </c>
      <c r="N49" s="667"/>
      <c r="O49" s="686">
        <f>O48</f>
        <v>1300</v>
      </c>
      <c r="P49" s="667"/>
      <c r="Q49" s="680"/>
      <c r="R49" s="667"/>
      <c r="S49" s="680"/>
      <c r="T49" s="667"/>
      <c r="U49" s="680"/>
      <c r="V49" s="511"/>
      <c r="W49" s="623"/>
    </row>
    <row r="50" spans="1:23" ht="16" customHeight="1" thickBot="1">
      <c r="A50" s="511"/>
      <c r="B50" s="608"/>
      <c r="C50" s="660" t="s">
        <v>33</v>
      </c>
      <c r="D50" s="612"/>
      <c r="E50" s="661" t="s">
        <v>259</v>
      </c>
      <c r="F50" s="602"/>
      <c r="G50" s="662" t="s">
        <v>260</v>
      </c>
      <c r="H50" s="663"/>
      <c r="I50" s="683">
        <f>SUM(K50:U50)</f>
        <v>19200</v>
      </c>
      <c r="J50" s="665"/>
      <c r="K50" s="690"/>
      <c r="L50" s="667"/>
      <c r="M50" s="680"/>
      <c r="N50" s="667"/>
      <c r="O50" s="686">
        <f>48000*400/1000*10/100</f>
        <v>1920</v>
      </c>
      <c r="P50" s="667"/>
      <c r="Q50" s="686">
        <f>48000*400/1000*40/100</f>
        <v>7680</v>
      </c>
      <c r="R50" s="667"/>
      <c r="S50" s="686">
        <f>48000*400/1000*50/100</f>
        <v>9600</v>
      </c>
      <c r="T50" s="667"/>
      <c r="U50" s="680"/>
      <c r="V50" s="511"/>
      <c r="W50" s="623"/>
    </row>
    <row r="51" spans="1:23" ht="16" customHeight="1" thickTop="1" thickBot="1">
      <c r="A51" s="511"/>
      <c r="B51" s="608"/>
      <c r="C51" s="613"/>
      <c r="D51" s="614"/>
      <c r="E51" s="661" t="s">
        <v>243</v>
      </c>
      <c r="F51" s="602"/>
      <c r="G51" s="662" t="s">
        <v>261</v>
      </c>
      <c r="H51" s="96" t="s">
        <v>20</v>
      </c>
      <c r="I51" s="672">
        <f t="shared" ref="I51:I52" si="2">S51</f>
        <v>137</v>
      </c>
      <c r="J51" s="665"/>
      <c r="K51" s="680"/>
      <c r="L51" s="667"/>
      <c r="M51" s="680"/>
      <c r="N51" s="667"/>
      <c r="O51" s="680"/>
      <c r="P51" s="667"/>
      <c r="Q51" s="680"/>
      <c r="R51" s="667"/>
      <c r="S51" s="673">
        <f>ROUND(6500*30/100*70/1000,0)</f>
        <v>137</v>
      </c>
      <c r="T51" s="667"/>
      <c r="U51" s="680"/>
      <c r="V51" s="511"/>
      <c r="W51" s="623"/>
    </row>
    <row r="52" spans="1:23" ht="16" customHeight="1" thickTop="1">
      <c r="A52" s="511"/>
      <c r="B52" s="608"/>
      <c r="C52" s="613"/>
      <c r="D52" s="614"/>
      <c r="E52" s="661" t="s">
        <v>244</v>
      </c>
      <c r="F52" s="602"/>
      <c r="G52" s="662" t="s">
        <v>262</v>
      </c>
      <c r="H52" s="663"/>
      <c r="I52" s="683">
        <f t="shared" si="2"/>
        <v>52</v>
      </c>
      <c r="J52" s="665"/>
      <c r="K52" s="690"/>
      <c r="L52" s="667"/>
      <c r="M52" s="680"/>
      <c r="N52" s="667"/>
      <c r="O52" s="680"/>
      <c r="P52" s="667"/>
      <c r="Q52" s="690"/>
      <c r="R52" s="667"/>
      <c r="S52" s="686">
        <f>((500*80)+(700-500)*60)/1000</f>
        <v>52</v>
      </c>
      <c r="T52" s="667"/>
      <c r="U52" s="690"/>
      <c r="V52" s="511"/>
      <c r="W52" s="623"/>
    </row>
    <row r="53" spans="1:23" ht="16" customHeight="1">
      <c r="A53" s="511"/>
      <c r="B53" s="608"/>
      <c r="C53" s="615"/>
      <c r="D53" s="616"/>
      <c r="E53" s="656" t="s">
        <v>238</v>
      </c>
      <c r="F53" s="602"/>
      <c r="G53" s="691"/>
      <c r="H53" s="102"/>
      <c r="I53" s="689">
        <v>19389</v>
      </c>
      <c r="J53" s="665"/>
      <c r="K53" s="690"/>
      <c r="L53" s="667"/>
      <c r="M53" s="680"/>
      <c r="N53" s="667"/>
      <c r="O53" s="686">
        <f>SUM(O50:O52)</f>
        <v>1920</v>
      </c>
      <c r="P53" s="667"/>
      <c r="Q53" s="686">
        <f>SUM(Q50+Q52)</f>
        <v>7680</v>
      </c>
      <c r="R53" s="667"/>
      <c r="S53" s="686">
        <f>SUM(S50:S52)</f>
        <v>9789</v>
      </c>
      <c r="T53" s="667"/>
      <c r="U53" s="680"/>
      <c r="V53" s="511"/>
      <c r="W53" s="623"/>
    </row>
    <row r="54" spans="1:23" ht="16" customHeight="1" thickBot="1">
      <c r="A54" s="511"/>
      <c r="B54" s="608"/>
      <c r="C54" s="692" t="s">
        <v>61</v>
      </c>
      <c r="D54" s="601"/>
      <c r="E54" s="601"/>
      <c r="F54" s="602"/>
      <c r="G54" s="693" t="s">
        <v>263</v>
      </c>
      <c r="H54" s="102"/>
      <c r="I54" s="694">
        <f>M54+O54</f>
        <v>100</v>
      </c>
      <c r="J54" s="695"/>
      <c r="K54" s="696"/>
      <c r="L54" s="674"/>
      <c r="M54" s="697">
        <f>10*10000*50/100/1000</f>
        <v>50</v>
      </c>
      <c r="N54" s="674"/>
      <c r="O54" s="697">
        <f>10*10000*50/100/1000</f>
        <v>50</v>
      </c>
      <c r="P54" s="674"/>
      <c r="Q54" s="631"/>
      <c r="R54" s="674"/>
      <c r="S54" s="631"/>
      <c r="T54" s="674"/>
      <c r="U54" s="631"/>
      <c r="V54" s="511"/>
      <c r="W54" s="623"/>
    </row>
    <row r="55" spans="1:23" ht="16" customHeight="1" thickTop="1" thickBot="1">
      <c r="A55" s="511"/>
      <c r="B55" s="608"/>
      <c r="C55" s="698" t="s">
        <v>241</v>
      </c>
      <c r="D55" s="601"/>
      <c r="E55" s="601"/>
      <c r="F55" s="602"/>
      <c r="G55" s="699" t="s">
        <v>264</v>
      </c>
      <c r="H55" s="663"/>
      <c r="I55" s="700">
        <f>I43+I46+I49+I53+I54</f>
        <v>25025.279999999999</v>
      </c>
      <c r="J55" s="121" t="s">
        <v>22</v>
      </c>
      <c r="K55" s="701">
        <f>K43+K46+K49+K53+K54</f>
        <v>231</v>
      </c>
      <c r="L55" s="678" t="s">
        <v>23</v>
      </c>
      <c r="M55" s="701">
        <f>M43+M46+M49+M53+M54</f>
        <v>3188</v>
      </c>
      <c r="N55" s="678" t="s">
        <v>25</v>
      </c>
      <c r="O55" s="701">
        <f>O43+O46+O49+O53+O54</f>
        <v>3927</v>
      </c>
      <c r="P55" s="678" t="s">
        <v>29</v>
      </c>
      <c r="Q55" s="701">
        <f>Q43+Q46+Q49+Q53+Q54</f>
        <v>7764</v>
      </c>
      <c r="R55" s="678" t="s">
        <v>35</v>
      </c>
      <c r="S55" s="701">
        <f>S43+S46+S49+S53+S54</f>
        <v>9873</v>
      </c>
      <c r="T55" s="678" t="s">
        <v>37</v>
      </c>
      <c r="U55" s="679">
        <f>U43+U46+U49+U53+U54</f>
        <v>42</v>
      </c>
      <c r="V55" s="511"/>
      <c r="W55" s="623"/>
    </row>
    <row r="56" spans="1:23" ht="16" customHeight="1" thickTop="1" thickBot="1">
      <c r="A56" s="511"/>
      <c r="B56" s="608"/>
      <c r="C56" s="692" t="s">
        <v>265</v>
      </c>
      <c r="D56" s="601"/>
      <c r="E56" s="601"/>
      <c r="F56" s="602"/>
      <c r="G56" s="693" t="s">
        <v>266</v>
      </c>
      <c r="H56" s="96" t="s">
        <v>40</v>
      </c>
      <c r="I56" s="702">
        <f t="shared" ref="I56:I57" si="3">SUM(K56:U56)</f>
        <v>250</v>
      </c>
      <c r="J56" s="107"/>
      <c r="K56" s="703">
        <f>ROUND(K55*1/100,0)</f>
        <v>2</v>
      </c>
      <c r="L56" s="681"/>
      <c r="M56" s="703">
        <f>ROUND(M55*1/100,0)</f>
        <v>32</v>
      </c>
      <c r="N56" s="681"/>
      <c r="O56" s="703">
        <f>ROUND(O55*1/100,0)</f>
        <v>39</v>
      </c>
      <c r="P56" s="681"/>
      <c r="Q56" s="703">
        <f>ROUND(Q55*1/100,0)</f>
        <v>78</v>
      </c>
      <c r="R56" s="681"/>
      <c r="S56" s="703">
        <f>ROUND(S55*1/100,0)</f>
        <v>99</v>
      </c>
      <c r="T56" s="681"/>
      <c r="U56" s="704">
        <f>ROUND(U55*1/100,0)</f>
        <v>0</v>
      </c>
      <c r="V56" s="511"/>
      <c r="W56" s="623"/>
    </row>
    <row r="57" spans="1:23" ht="16" customHeight="1" thickTop="1" thickBot="1">
      <c r="A57" s="511"/>
      <c r="B57" s="608"/>
      <c r="C57" s="692" t="s">
        <v>267</v>
      </c>
      <c r="D57" s="601"/>
      <c r="E57" s="601"/>
      <c r="F57" s="602"/>
      <c r="G57" s="693" t="s">
        <v>268</v>
      </c>
      <c r="H57" s="663"/>
      <c r="I57" s="683">
        <f t="shared" si="3"/>
        <v>751</v>
      </c>
      <c r="J57" s="705"/>
      <c r="K57" s="686">
        <f>ROUND(K55*3/100,0)</f>
        <v>7</v>
      </c>
      <c r="L57" s="667"/>
      <c r="M57" s="686">
        <f>ROUND(M55*3/100,0)</f>
        <v>96</v>
      </c>
      <c r="N57" s="667"/>
      <c r="O57" s="686">
        <f>ROUND(O55*3/100,0)</f>
        <v>118</v>
      </c>
      <c r="P57" s="667"/>
      <c r="Q57" s="670">
        <f>ROUND(Q55*3/100,0)</f>
        <v>233</v>
      </c>
      <c r="R57" s="667"/>
      <c r="S57" s="673">
        <f>ROUND(S55*3/100,0)</f>
        <v>296</v>
      </c>
      <c r="T57" s="667"/>
      <c r="U57" s="673">
        <f>ROUND(U55*3/100,0)</f>
        <v>1</v>
      </c>
      <c r="V57" s="511"/>
      <c r="W57" s="623"/>
    </row>
    <row r="58" spans="1:23" ht="16" customHeight="1" thickTop="1" thickBot="1">
      <c r="A58" s="511"/>
      <c r="B58" s="617"/>
      <c r="C58" s="706" t="s">
        <v>245</v>
      </c>
      <c r="D58" s="606"/>
      <c r="E58" s="606"/>
      <c r="F58" s="607"/>
      <c r="G58" s="707" t="s">
        <v>269</v>
      </c>
      <c r="H58" s="668" t="s">
        <v>43</v>
      </c>
      <c r="I58" s="708">
        <f>SUM(I55:I57)</f>
        <v>26026.28</v>
      </c>
      <c r="J58" s="665"/>
      <c r="K58" s="686">
        <f>SUM(K55:K57)</f>
        <v>240</v>
      </c>
      <c r="L58" s="667"/>
      <c r="M58" s="686">
        <f>SUM(M55:M57)</f>
        <v>3316</v>
      </c>
      <c r="N58" s="667"/>
      <c r="O58" s="686">
        <f>SUM(O55:O57)</f>
        <v>4084</v>
      </c>
      <c r="P58" s="667"/>
      <c r="Q58" s="686">
        <f>SUM(Q55:Q57)</f>
        <v>8075</v>
      </c>
      <c r="R58" s="667"/>
      <c r="S58" s="686">
        <f>SUM(S55:S57)</f>
        <v>10268</v>
      </c>
      <c r="T58" s="667"/>
      <c r="U58" s="673">
        <f>SUM(U55:U57)</f>
        <v>43</v>
      </c>
      <c r="V58" s="511"/>
      <c r="W58" s="623"/>
    </row>
    <row r="59" spans="1:23" ht="16" customHeight="1" thickTop="1" thickBot="1">
      <c r="A59" s="511"/>
      <c r="B59" s="659" t="s">
        <v>270</v>
      </c>
      <c r="C59" s="709" t="s">
        <v>271</v>
      </c>
      <c r="D59" s="661" t="s">
        <v>272</v>
      </c>
      <c r="E59" s="601"/>
      <c r="F59" s="602"/>
      <c r="G59" s="710" t="s">
        <v>273</v>
      </c>
      <c r="H59" s="668" t="s">
        <v>45</v>
      </c>
      <c r="I59" s="708">
        <f>SUM(K59:U59)</f>
        <v>504</v>
      </c>
      <c r="J59" s="711"/>
      <c r="K59" s="712">
        <f>ROUND((K43-K38)*2/3,0)</f>
        <v>144</v>
      </c>
      <c r="L59" s="713"/>
      <c r="M59" s="714">
        <f>ROUND((405+108)*2/3,0)</f>
        <v>342</v>
      </c>
      <c r="N59" s="713"/>
      <c r="O59" s="715"/>
      <c r="P59" s="713"/>
      <c r="Q59" s="715"/>
      <c r="R59" s="713"/>
      <c r="S59" s="715"/>
      <c r="T59" s="713"/>
      <c r="U59" s="712">
        <f>U42*2/3</f>
        <v>18</v>
      </c>
      <c r="V59" s="511"/>
      <c r="W59" s="623"/>
    </row>
    <row r="60" spans="1:23" ht="16" customHeight="1" thickTop="1" thickBot="1">
      <c r="A60" s="511"/>
      <c r="B60" s="608"/>
      <c r="C60" s="608"/>
      <c r="D60" s="661" t="s">
        <v>152</v>
      </c>
      <c r="E60" s="601"/>
      <c r="F60" s="602"/>
      <c r="G60" s="716" t="s">
        <v>274</v>
      </c>
      <c r="H60" s="96" t="s">
        <v>46</v>
      </c>
      <c r="I60" s="702">
        <f>O60</f>
        <v>400</v>
      </c>
      <c r="J60" s="711"/>
      <c r="K60" s="715"/>
      <c r="L60" s="713"/>
      <c r="M60" s="715"/>
      <c r="N60" s="713"/>
      <c r="O60" s="712">
        <f>O44*2/3</f>
        <v>400</v>
      </c>
      <c r="P60" s="717"/>
      <c r="Q60" s="718"/>
      <c r="R60" s="713"/>
      <c r="S60" s="719"/>
      <c r="T60" s="713"/>
      <c r="U60" s="720"/>
      <c r="V60" s="511"/>
      <c r="W60" s="623"/>
    </row>
    <row r="61" spans="1:23" ht="16" customHeight="1" thickTop="1" thickBot="1">
      <c r="A61" s="511"/>
      <c r="B61" s="608"/>
      <c r="C61" s="608"/>
      <c r="D61" s="660" t="s">
        <v>219</v>
      </c>
      <c r="E61" s="612"/>
      <c r="F61" s="721" t="s">
        <v>275</v>
      </c>
      <c r="G61" s="722" t="s">
        <v>274</v>
      </c>
      <c r="H61" s="663"/>
      <c r="I61" s="683">
        <f>SUM(K61:U61)</f>
        <v>700.33333333333326</v>
      </c>
      <c r="J61" s="711"/>
      <c r="K61" s="715"/>
      <c r="L61" s="713"/>
      <c r="M61" s="714">
        <f>ROUND((1200*30/100-50)*2/3,0)</f>
        <v>207</v>
      </c>
      <c r="N61" s="713"/>
      <c r="O61" s="723"/>
      <c r="P61" s="724" t="s">
        <v>47</v>
      </c>
      <c r="Q61" s="725">
        <f>((1200*70/100)-(150-50))*2/3</f>
        <v>493.33333333333331</v>
      </c>
      <c r="R61" s="713"/>
      <c r="S61" s="715"/>
      <c r="T61" s="713"/>
      <c r="U61" s="720"/>
      <c r="V61" s="511"/>
      <c r="W61" s="623"/>
    </row>
    <row r="62" spans="1:23" ht="16" customHeight="1" thickTop="1" thickBot="1">
      <c r="A62" s="511"/>
      <c r="B62" s="608"/>
      <c r="C62" s="608"/>
      <c r="D62" s="615"/>
      <c r="E62" s="616"/>
      <c r="F62" s="726" t="s">
        <v>98</v>
      </c>
      <c r="G62" s="727" t="s">
        <v>274</v>
      </c>
      <c r="H62" s="96" t="s">
        <v>48</v>
      </c>
      <c r="I62" s="702">
        <f>O62</f>
        <v>700</v>
      </c>
      <c r="J62" s="711"/>
      <c r="K62" s="715"/>
      <c r="L62" s="713"/>
      <c r="M62" s="715"/>
      <c r="N62" s="717"/>
      <c r="O62" s="728">
        <f>ROUND((1300-250)*2/3,0)</f>
        <v>700</v>
      </c>
      <c r="P62" s="729"/>
      <c r="Q62" s="730"/>
      <c r="R62" s="713"/>
      <c r="S62" s="719"/>
      <c r="T62" s="713"/>
      <c r="U62" s="731"/>
      <c r="V62" s="511"/>
      <c r="W62" s="623"/>
    </row>
    <row r="63" spans="1:23" ht="16" customHeight="1" thickTop="1" thickBot="1">
      <c r="A63" s="511"/>
      <c r="B63" s="608"/>
      <c r="C63" s="608"/>
      <c r="D63" s="660" t="s">
        <v>154</v>
      </c>
      <c r="E63" s="612"/>
      <c r="F63" s="721" t="s">
        <v>259</v>
      </c>
      <c r="G63" s="722" t="s">
        <v>274</v>
      </c>
      <c r="H63" s="663"/>
      <c r="I63" s="683">
        <f>SUM(K63:U63)</f>
        <v>1920</v>
      </c>
      <c r="J63" s="711"/>
      <c r="K63" s="715"/>
      <c r="L63" s="713"/>
      <c r="M63" s="723"/>
      <c r="N63" s="724" t="s">
        <v>50</v>
      </c>
      <c r="O63" s="732">
        <f>ROUND(O50*15/100*2/3,0)</f>
        <v>192</v>
      </c>
      <c r="P63" s="713"/>
      <c r="Q63" s="714">
        <f>ROUND(Q50*15/100*2/3,0)</f>
        <v>768</v>
      </c>
      <c r="R63" s="713"/>
      <c r="S63" s="712">
        <f>ROUND(S50*15/100*2/3,0)</f>
        <v>960</v>
      </c>
      <c r="T63" s="713"/>
      <c r="U63" s="731"/>
      <c r="V63" s="511"/>
      <c r="W63" s="623"/>
    </row>
    <row r="64" spans="1:23" ht="16" customHeight="1" thickTop="1" thickBot="1">
      <c r="A64" s="511"/>
      <c r="B64" s="608"/>
      <c r="C64" s="608"/>
      <c r="D64" s="615"/>
      <c r="E64" s="616"/>
      <c r="F64" s="721" t="s">
        <v>243</v>
      </c>
      <c r="G64" s="716" t="s">
        <v>274</v>
      </c>
      <c r="H64" s="668" t="s">
        <v>52</v>
      </c>
      <c r="I64" s="733">
        <f>S64</f>
        <v>91</v>
      </c>
      <c r="J64" s="711"/>
      <c r="K64" s="715"/>
      <c r="L64" s="713"/>
      <c r="M64" s="719"/>
      <c r="N64" s="729"/>
      <c r="O64" s="734"/>
      <c r="P64" s="713"/>
      <c r="Q64" s="719"/>
      <c r="R64" s="713"/>
      <c r="S64" s="714">
        <f>ROUND(S51*2/3,0)</f>
        <v>91</v>
      </c>
      <c r="T64" s="713"/>
      <c r="U64" s="720"/>
      <c r="V64" s="511"/>
      <c r="W64" s="623"/>
    </row>
    <row r="65" spans="1:23" ht="16" customHeight="1" thickTop="1" thickBot="1">
      <c r="A65" s="511"/>
      <c r="B65" s="608"/>
      <c r="C65" s="608"/>
      <c r="D65" s="692" t="s">
        <v>97</v>
      </c>
      <c r="E65" s="601"/>
      <c r="F65" s="602"/>
      <c r="G65" s="699" t="s">
        <v>274</v>
      </c>
      <c r="H65" s="96" t="s">
        <v>55</v>
      </c>
      <c r="I65" s="702">
        <f>SUM(K65:U65)</f>
        <v>250</v>
      </c>
      <c r="J65" s="116"/>
      <c r="K65" s="735">
        <f>ROUND(K57*50/100*2/3,0)</f>
        <v>2</v>
      </c>
      <c r="L65" s="729"/>
      <c r="M65" s="735">
        <f>ROUND(M57*50/100*2/3,0)</f>
        <v>32</v>
      </c>
      <c r="N65" s="729"/>
      <c r="O65" s="735">
        <f>ROUND(O57*50/100*2/3,0)</f>
        <v>39</v>
      </c>
      <c r="P65" s="729"/>
      <c r="Q65" s="736">
        <f>ROUND(Q57*50/100*2/3,0)</f>
        <v>78</v>
      </c>
      <c r="R65" s="729"/>
      <c r="S65" s="736">
        <f>ROUND(S57*50/100*2/3,0)</f>
        <v>99</v>
      </c>
      <c r="T65" s="729"/>
      <c r="U65" s="737">
        <v>0</v>
      </c>
      <c r="V65" s="511"/>
      <c r="W65" s="623"/>
    </row>
    <row r="66" spans="1:23" ht="16" customHeight="1" thickTop="1" thickBot="1">
      <c r="A66" s="511"/>
      <c r="B66" s="608"/>
      <c r="C66" s="609"/>
      <c r="D66" s="698" t="s">
        <v>276</v>
      </c>
      <c r="E66" s="601"/>
      <c r="F66" s="602"/>
      <c r="G66" s="699" t="s">
        <v>277</v>
      </c>
      <c r="H66" s="95"/>
      <c r="I66" s="683">
        <f>I59+I60+I61+I62+I63+I64+I65</f>
        <v>4565.333333333333</v>
      </c>
      <c r="J66" s="122"/>
      <c r="K66" s="735">
        <f>SUM(K59:K65)</f>
        <v>146</v>
      </c>
      <c r="L66" s="729"/>
      <c r="M66" s="735">
        <f>SUM(M59:M65)</f>
        <v>581</v>
      </c>
      <c r="N66" s="729"/>
      <c r="O66" s="735">
        <f>SUM(O59:O65)</f>
        <v>1331</v>
      </c>
      <c r="P66" s="729"/>
      <c r="Q66" s="735">
        <f>SUM(Q59:Q65)</f>
        <v>1339.3333333333333</v>
      </c>
      <c r="R66" s="729"/>
      <c r="S66" s="735">
        <f>SUM(S59:S65)</f>
        <v>1150</v>
      </c>
      <c r="T66" s="729"/>
      <c r="U66" s="735">
        <f>SUM(U59:U65)</f>
        <v>18</v>
      </c>
      <c r="V66" s="511"/>
      <c r="W66" s="623"/>
    </row>
    <row r="67" spans="1:23" ht="16" customHeight="1" thickTop="1" thickBot="1">
      <c r="A67" s="511"/>
      <c r="B67" s="608"/>
      <c r="C67" s="738" t="s">
        <v>278</v>
      </c>
      <c r="D67" s="692" t="s">
        <v>115</v>
      </c>
      <c r="E67" s="601"/>
      <c r="F67" s="602"/>
      <c r="G67" s="739" t="s">
        <v>279</v>
      </c>
      <c r="H67" s="96" t="s">
        <v>57</v>
      </c>
      <c r="I67" s="702">
        <f>M67+O67</f>
        <v>1200</v>
      </c>
      <c r="J67" s="114"/>
      <c r="K67" s="62" t="s">
        <v>18</v>
      </c>
      <c r="L67" s="740"/>
      <c r="M67" s="741">
        <f>800+150</f>
        <v>950</v>
      </c>
      <c r="N67" s="740"/>
      <c r="O67" s="742">
        <v>250</v>
      </c>
      <c r="P67" s="740"/>
      <c r="Q67" s="743" t="s">
        <v>280</v>
      </c>
      <c r="R67" s="740"/>
      <c r="S67" s="743"/>
      <c r="T67" s="740"/>
      <c r="U67" s="744" t="s">
        <v>18</v>
      </c>
      <c r="V67" s="511"/>
      <c r="W67" s="623"/>
    </row>
    <row r="68" spans="1:23" ht="16" customHeight="1" thickTop="1">
      <c r="A68" s="511"/>
      <c r="B68" s="608"/>
      <c r="C68" s="608"/>
      <c r="D68" s="745" t="s">
        <v>244</v>
      </c>
      <c r="E68" s="601"/>
      <c r="F68" s="602"/>
      <c r="G68" s="655" t="s">
        <v>274</v>
      </c>
      <c r="H68" s="746"/>
      <c r="I68" s="694">
        <f>S68</f>
        <v>40</v>
      </c>
      <c r="J68" s="711"/>
      <c r="K68" s="747" t="s">
        <v>18</v>
      </c>
      <c r="L68" s="713"/>
      <c r="M68" s="747" t="s">
        <v>18</v>
      </c>
      <c r="N68" s="713"/>
      <c r="O68" s="747" t="s">
        <v>18</v>
      </c>
      <c r="P68" s="713"/>
      <c r="Q68" s="748"/>
      <c r="R68" s="713"/>
      <c r="S68" s="714">
        <f>500*80/1000</f>
        <v>40</v>
      </c>
      <c r="T68" s="713"/>
      <c r="U68" s="748" t="s">
        <v>18</v>
      </c>
      <c r="V68" s="511"/>
      <c r="W68" s="623"/>
    </row>
    <row r="69" spans="1:23" ht="16" customHeight="1" thickBot="1">
      <c r="A69" s="511"/>
      <c r="B69" s="608"/>
      <c r="C69" s="609"/>
      <c r="D69" s="698" t="s">
        <v>281</v>
      </c>
      <c r="E69" s="601"/>
      <c r="F69" s="602"/>
      <c r="G69" s="699" t="s">
        <v>282</v>
      </c>
      <c r="H69" s="97"/>
      <c r="I69" s="689">
        <f>M69+O69+S69</f>
        <v>1240</v>
      </c>
      <c r="J69" s="116"/>
      <c r="K69" s="749" t="s">
        <v>18</v>
      </c>
      <c r="L69" s="729"/>
      <c r="M69" s="736">
        <f>SUM(M67:M68)</f>
        <v>950</v>
      </c>
      <c r="N69" s="729"/>
      <c r="O69" s="735">
        <f>SUM(O67:O68)</f>
        <v>250</v>
      </c>
      <c r="P69" s="729"/>
      <c r="Q69" s="734"/>
      <c r="R69" s="740"/>
      <c r="S69" s="750">
        <f>SUM(S67:S68)</f>
        <v>40</v>
      </c>
      <c r="T69" s="729"/>
      <c r="U69" s="749" t="s">
        <v>18</v>
      </c>
      <c r="V69" s="511"/>
      <c r="W69" s="623"/>
    </row>
    <row r="70" spans="1:23" ht="16" customHeight="1" thickTop="1" thickBot="1">
      <c r="A70" s="511"/>
      <c r="B70" s="609"/>
      <c r="C70" s="751" t="s">
        <v>283</v>
      </c>
      <c r="D70" s="601"/>
      <c r="E70" s="601"/>
      <c r="F70" s="602"/>
      <c r="G70" s="752" t="s">
        <v>284</v>
      </c>
      <c r="H70" s="102"/>
      <c r="I70" s="689">
        <f>I66+I69</f>
        <v>5805.333333333333</v>
      </c>
      <c r="J70" s="116"/>
      <c r="K70" s="735">
        <f>K66</f>
        <v>146</v>
      </c>
      <c r="L70" s="729"/>
      <c r="M70" s="735">
        <f>M66+M69</f>
        <v>1531</v>
      </c>
      <c r="N70" s="729"/>
      <c r="O70" s="735">
        <f>O66+O69</f>
        <v>1581</v>
      </c>
      <c r="P70" s="729"/>
      <c r="Q70" s="304">
        <f>SUM(Q66:Q69)</f>
        <v>1339.3333333333333</v>
      </c>
      <c r="R70" s="724" t="s">
        <v>60</v>
      </c>
      <c r="S70" s="725">
        <f>S66+S69</f>
        <v>1190</v>
      </c>
      <c r="T70" s="729"/>
      <c r="U70" s="735">
        <f>SUM(U66:U68)</f>
        <v>18</v>
      </c>
      <c r="V70" s="511"/>
      <c r="W70" s="623"/>
    </row>
    <row r="71" spans="1:23" ht="16" customHeight="1" thickTop="1">
      <c r="A71" s="511"/>
      <c r="B71" s="753" t="s">
        <v>285</v>
      </c>
      <c r="C71" s="754"/>
      <c r="D71" s="754"/>
      <c r="E71" s="754"/>
      <c r="F71" s="754"/>
      <c r="G71" s="754"/>
      <c r="H71" s="754"/>
      <c r="I71" s="754"/>
      <c r="J71" s="754"/>
      <c r="K71" s="754"/>
      <c r="L71" s="754"/>
      <c r="M71" s="754"/>
      <c r="N71" s="754"/>
      <c r="O71" s="754"/>
      <c r="P71" s="754"/>
      <c r="Q71" s="754"/>
      <c r="R71" s="754"/>
      <c r="S71" s="754"/>
      <c r="T71" s="754"/>
      <c r="U71" s="754"/>
      <c r="V71" s="511"/>
      <c r="W71" s="623"/>
    </row>
    <row r="72" spans="1:23" ht="16" customHeight="1">
      <c r="W72" s="11"/>
    </row>
    <row r="73" spans="1:23" ht="16" customHeight="1">
      <c r="K73" s="375" t="s">
        <v>77</v>
      </c>
      <c r="W73" s="11"/>
    </row>
    <row r="74" spans="1:23" ht="16" customHeight="1">
      <c r="K74" s="376" t="s">
        <v>78</v>
      </c>
      <c r="W74" s="11"/>
    </row>
    <row r="75" spans="1:23" ht="16" customHeight="1">
      <c r="E75" s="510" t="s">
        <v>286</v>
      </c>
      <c r="F75" s="755" t="s">
        <v>287</v>
      </c>
      <c r="J75" s="756" t="s">
        <v>79</v>
      </c>
      <c r="K75" s="287" t="s">
        <v>102</v>
      </c>
      <c r="L75" s="756" t="s">
        <v>79</v>
      </c>
      <c r="M75" s="287" t="s">
        <v>103</v>
      </c>
      <c r="N75" s="756" t="s">
        <v>79</v>
      </c>
      <c r="O75" s="287" t="s">
        <v>104</v>
      </c>
      <c r="P75" s="756" t="s">
        <v>79</v>
      </c>
      <c r="Q75" s="287" t="s">
        <v>105</v>
      </c>
      <c r="R75" s="756" t="s">
        <v>79</v>
      </c>
      <c r="S75" s="287" t="s">
        <v>106</v>
      </c>
      <c r="T75" s="756" t="s">
        <v>79</v>
      </c>
      <c r="U75" s="287" t="s">
        <v>107</v>
      </c>
      <c r="W75" s="11"/>
    </row>
    <row r="76" spans="1:23" ht="16" customHeight="1">
      <c r="E76" s="757">
        <v>10000</v>
      </c>
      <c r="F76" s="510">
        <v>3.44</v>
      </c>
      <c r="J76" s="55">
        <v>1</v>
      </c>
      <c r="K76" s="477" t="s">
        <v>272</v>
      </c>
      <c r="L76" s="55">
        <v>1</v>
      </c>
      <c r="M76" s="477" t="s">
        <v>272</v>
      </c>
      <c r="N76" s="55">
        <v>1</v>
      </c>
      <c r="O76" s="477" t="s">
        <v>152</v>
      </c>
      <c r="P76" s="55">
        <v>1</v>
      </c>
      <c r="Q76" s="477" t="s">
        <v>275</v>
      </c>
      <c r="R76" s="55">
        <v>1</v>
      </c>
      <c r="S76" s="758" t="s">
        <v>240</v>
      </c>
      <c r="T76" s="55">
        <v>1</v>
      </c>
      <c r="U76" s="759" t="s">
        <v>272</v>
      </c>
      <c r="W76" s="11"/>
    </row>
    <row r="77" spans="1:23" ht="16" customHeight="1">
      <c r="J77" s="59"/>
      <c r="K77" s="297">
        <f>K59</f>
        <v>144</v>
      </c>
      <c r="L77" s="59"/>
      <c r="M77" s="297">
        <f>M59</f>
        <v>342</v>
      </c>
      <c r="N77" s="59"/>
      <c r="O77" s="297">
        <f>O60</f>
        <v>400</v>
      </c>
      <c r="P77" s="59"/>
      <c r="Q77" s="297">
        <f>Q61</f>
        <v>493.33333333333331</v>
      </c>
      <c r="R77" s="59"/>
      <c r="S77" s="297">
        <f>S63</f>
        <v>960</v>
      </c>
      <c r="T77" s="59"/>
      <c r="U77" s="297">
        <f>U59</f>
        <v>18</v>
      </c>
      <c r="W77" s="11"/>
    </row>
    <row r="78" spans="1:23" ht="16" customHeight="1">
      <c r="E78" s="757">
        <v>19200</v>
      </c>
      <c r="F78" s="760" t="s">
        <v>288</v>
      </c>
      <c r="J78" s="55">
        <v>2</v>
      </c>
      <c r="K78" s="477" t="s">
        <v>97</v>
      </c>
      <c r="L78" s="55">
        <v>2</v>
      </c>
      <c r="M78" s="477" t="s">
        <v>275</v>
      </c>
      <c r="N78" s="55">
        <v>2</v>
      </c>
      <c r="O78" s="477" t="s">
        <v>98</v>
      </c>
      <c r="P78" s="55">
        <v>2</v>
      </c>
      <c r="Q78" s="758" t="s">
        <v>240</v>
      </c>
      <c r="R78" s="55">
        <v>2</v>
      </c>
      <c r="S78" s="477" t="s">
        <v>243</v>
      </c>
      <c r="T78" s="63">
        <v>2</v>
      </c>
      <c r="U78" s="761" t="s">
        <v>97</v>
      </c>
      <c r="W78" s="11"/>
    </row>
    <row r="79" spans="1:23" ht="16" customHeight="1">
      <c r="J79" s="57"/>
      <c r="K79" s="297">
        <f>K65</f>
        <v>2</v>
      </c>
      <c r="L79" s="57"/>
      <c r="M79" s="297">
        <f>M61</f>
        <v>207</v>
      </c>
      <c r="N79" s="57"/>
      <c r="O79" s="297">
        <f>O62</f>
        <v>700</v>
      </c>
      <c r="P79" s="57"/>
      <c r="Q79" s="297">
        <f>Q63</f>
        <v>768</v>
      </c>
      <c r="R79" s="57"/>
      <c r="S79" s="297">
        <f>S64</f>
        <v>91</v>
      </c>
      <c r="T79" s="57"/>
      <c r="U79" s="308">
        <f>U65</f>
        <v>0</v>
      </c>
      <c r="W79" s="11"/>
    </row>
    <row r="80" spans="1:23" ht="16" customHeight="1">
      <c r="E80" s="757">
        <v>25000</v>
      </c>
      <c r="F80" s="510">
        <v>2.74</v>
      </c>
      <c r="J80" s="59">
        <v>3</v>
      </c>
      <c r="K80" s="762" t="s">
        <v>289</v>
      </c>
      <c r="L80" s="59">
        <v>3</v>
      </c>
      <c r="M80" s="759" t="s">
        <v>97</v>
      </c>
      <c r="N80" s="59">
        <v>3</v>
      </c>
      <c r="O80" s="758" t="s">
        <v>240</v>
      </c>
      <c r="P80" s="59">
        <v>3</v>
      </c>
      <c r="Q80" s="759" t="s">
        <v>97</v>
      </c>
      <c r="R80" s="59">
        <v>3</v>
      </c>
      <c r="S80" s="759" t="s">
        <v>97</v>
      </c>
      <c r="T80" s="55">
        <v>3</v>
      </c>
      <c r="U80" s="763" t="s">
        <v>289</v>
      </c>
      <c r="W80" s="11"/>
    </row>
    <row r="81" spans="5:23" ht="16" customHeight="1">
      <c r="J81" s="59"/>
      <c r="K81" s="750">
        <f>K70</f>
        <v>146</v>
      </c>
      <c r="L81" s="59"/>
      <c r="M81" s="750">
        <f>M65</f>
        <v>32</v>
      </c>
      <c r="N81" s="59"/>
      <c r="O81" s="750">
        <f>O63</f>
        <v>192</v>
      </c>
      <c r="P81" s="59"/>
      <c r="Q81" s="750">
        <f>Q65</f>
        <v>78</v>
      </c>
      <c r="R81" s="59"/>
      <c r="S81" s="750">
        <f>S65</f>
        <v>99</v>
      </c>
      <c r="T81" s="57"/>
      <c r="U81" s="297">
        <f>U70</f>
        <v>18</v>
      </c>
      <c r="W81" s="11"/>
    </row>
    <row r="82" spans="5:23" ht="16" customHeight="1">
      <c r="J82" s="764"/>
      <c r="K82" s="765"/>
      <c r="L82" s="55">
        <v>4</v>
      </c>
      <c r="M82" s="477" t="s">
        <v>115</v>
      </c>
      <c r="N82" s="55">
        <v>4</v>
      </c>
      <c r="O82" s="759" t="s">
        <v>97</v>
      </c>
      <c r="P82" s="55">
        <v>4</v>
      </c>
      <c r="Q82" s="763" t="s">
        <v>289</v>
      </c>
      <c r="R82" s="55">
        <v>4</v>
      </c>
      <c r="S82" s="477" t="s">
        <v>244</v>
      </c>
      <c r="W82" s="11"/>
    </row>
    <row r="83" spans="5:23" ht="16" customHeight="1">
      <c r="E83" s="766" t="s">
        <v>290</v>
      </c>
      <c r="F83" s="510">
        <f>(F76-F80)</f>
        <v>0.69999999999999973</v>
      </c>
      <c r="J83" s="66"/>
      <c r="K83" s="313"/>
      <c r="L83" s="57"/>
      <c r="M83" s="297">
        <f>M67</f>
        <v>950</v>
      </c>
      <c r="N83" s="57"/>
      <c r="O83" s="750">
        <f>O65</f>
        <v>39</v>
      </c>
      <c r="P83" s="57"/>
      <c r="Q83" s="297">
        <f>Q70</f>
        <v>1339.3333333333333</v>
      </c>
      <c r="R83" s="57"/>
      <c r="S83" s="297">
        <f>S68</f>
        <v>40</v>
      </c>
      <c r="W83" s="11"/>
    </row>
    <row r="84" spans="5:23" ht="16" customHeight="1">
      <c r="E84" s="755" t="s">
        <v>291</v>
      </c>
      <c r="F84" s="767">
        <f>E80-E76</f>
        <v>15000</v>
      </c>
      <c r="J84" s="66"/>
      <c r="K84" s="768"/>
      <c r="L84" s="55">
        <v>5</v>
      </c>
      <c r="M84" s="763" t="s">
        <v>289</v>
      </c>
      <c r="N84" s="63">
        <v>5</v>
      </c>
      <c r="O84" s="769" t="s">
        <v>115</v>
      </c>
      <c r="R84" s="55">
        <v>5</v>
      </c>
      <c r="S84" s="763" t="s">
        <v>289</v>
      </c>
      <c r="W84" s="11"/>
    </row>
    <row r="85" spans="5:23" ht="16" customHeight="1">
      <c r="E85" s="755" t="s">
        <v>292</v>
      </c>
      <c r="F85" s="767">
        <f>E78-E76</f>
        <v>9200</v>
      </c>
      <c r="J85" s="66"/>
      <c r="K85" s="313"/>
      <c r="L85" s="57"/>
      <c r="M85" s="297">
        <f>M70</f>
        <v>1531</v>
      </c>
      <c r="N85" s="61"/>
      <c r="O85" s="308">
        <f>O67</f>
        <v>250</v>
      </c>
      <c r="R85" s="57"/>
      <c r="S85" s="297">
        <f>S70</f>
        <v>1190</v>
      </c>
      <c r="W85" s="11"/>
    </row>
    <row r="86" spans="5:23" ht="16" customHeight="1">
      <c r="J86" s="66"/>
      <c r="N86" s="55">
        <v>6</v>
      </c>
      <c r="O86" s="763" t="s">
        <v>289</v>
      </c>
      <c r="W86" s="11"/>
    </row>
    <row r="87" spans="5:23" ht="16" customHeight="1">
      <c r="E87" s="755" t="s">
        <v>293</v>
      </c>
      <c r="F87" s="770">
        <f>ROUNDDOWN(F83*F85/F84,3)</f>
        <v>0.42899999999999999</v>
      </c>
      <c r="J87" s="66"/>
      <c r="N87" s="57"/>
      <c r="O87" s="297">
        <f>O70</f>
        <v>1581</v>
      </c>
      <c r="W87" s="11"/>
    </row>
    <row r="88" spans="5:23" ht="16" customHeight="1">
      <c r="E88" s="755" t="s">
        <v>294</v>
      </c>
      <c r="F88" s="771">
        <f>F76-F87</f>
        <v>3.0110000000000001</v>
      </c>
      <c r="G88" s="510" t="str">
        <f>F78</f>
        <v>X</v>
      </c>
      <c r="W88" s="11"/>
    </row>
    <row r="89" spans="5:23" ht="16" customHeight="1"/>
    <row r="90" spans="5:23" ht="16" customHeight="1">
      <c r="F90" s="767">
        <f>E80-E78</f>
        <v>5800</v>
      </c>
    </row>
    <row r="91" spans="5:23" ht="16" customHeight="1">
      <c r="F91" s="772">
        <f>F83*F90/F84</f>
        <v>0.27066666666666656</v>
      </c>
    </row>
    <row r="92" spans="5:23">
      <c r="F92" s="510">
        <f>F80+F91</f>
        <v>3.0106666666666668</v>
      </c>
    </row>
  </sheetData>
  <mergeCells count="51">
    <mergeCell ref="C70:F70"/>
    <mergeCell ref="B71:U71"/>
    <mergeCell ref="D63:E64"/>
    <mergeCell ref="D65:F65"/>
    <mergeCell ref="D66:F66"/>
    <mergeCell ref="C67:C69"/>
    <mergeCell ref="D67:F67"/>
    <mergeCell ref="D68:F68"/>
    <mergeCell ref="D69:F69"/>
    <mergeCell ref="C54:F54"/>
    <mergeCell ref="C55:F55"/>
    <mergeCell ref="C56:F56"/>
    <mergeCell ref="C57:F57"/>
    <mergeCell ref="C58:F58"/>
    <mergeCell ref="B59:B70"/>
    <mergeCell ref="C59:C66"/>
    <mergeCell ref="D59:F59"/>
    <mergeCell ref="D60:F60"/>
    <mergeCell ref="D61:E62"/>
    <mergeCell ref="C47:D49"/>
    <mergeCell ref="E47:F47"/>
    <mergeCell ref="E48:F48"/>
    <mergeCell ref="E49:F49"/>
    <mergeCell ref="C50:D53"/>
    <mergeCell ref="E50:F50"/>
    <mergeCell ref="E51:F51"/>
    <mergeCell ref="E52:F52"/>
    <mergeCell ref="E53:F53"/>
    <mergeCell ref="E41:F41"/>
    <mergeCell ref="E42:F42"/>
    <mergeCell ref="E43:F43"/>
    <mergeCell ref="C44:D46"/>
    <mergeCell ref="E44:F44"/>
    <mergeCell ref="E45:F45"/>
    <mergeCell ref="E46:F46"/>
    <mergeCell ref="L37:M37"/>
    <mergeCell ref="N37:O37"/>
    <mergeCell ref="P37:Q37"/>
    <mergeCell ref="R37:S37"/>
    <mergeCell ref="T37:U37"/>
    <mergeCell ref="B38:B58"/>
    <mergeCell ref="C38:D43"/>
    <mergeCell ref="E38:F38"/>
    <mergeCell ref="E39:F39"/>
    <mergeCell ref="E40:F40"/>
    <mergeCell ref="B1:G1"/>
    <mergeCell ref="B36:E36"/>
    <mergeCell ref="B37:D37"/>
    <mergeCell ref="E37:F37"/>
    <mergeCell ref="H37:I37"/>
    <mergeCell ref="J37:K37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65B2C-F923-D244-A6BB-987E6770BF59}">
  <dimension ref="A1:R95"/>
  <sheetViews>
    <sheetView tabSelected="1" topLeftCell="A26" zoomScale="125" workbookViewId="0">
      <selection activeCell="D65" sqref="D65"/>
    </sheetView>
  </sheetViews>
  <sheetFormatPr baseColWidth="10" defaultColWidth="8.83203125" defaultRowHeight="18"/>
  <cols>
    <col min="1" max="1" width="5.6640625" style="510" customWidth="1"/>
    <col min="2" max="2" width="15.1640625" style="510" customWidth="1"/>
    <col min="3" max="3" width="28.83203125" style="510" customWidth="1"/>
    <col min="4" max="4" width="4.6640625" style="510" customWidth="1"/>
    <col min="5" max="5" width="14.6640625" style="510" customWidth="1"/>
    <col min="6" max="6" width="4.6640625" style="510" customWidth="1"/>
    <col min="7" max="7" width="15.6640625" style="510" customWidth="1"/>
    <col min="8" max="8" width="4.6640625" style="510" customWidth="1"/>
    <col min="9" max="9" width="14.6640625" style="510" customWidth="1"/>
    <col min="10" max="10" width="4.6640625" style="510" customWidth="1"/>
    <col min="11" max="11" width="14.6640625" style="510" customWidth="1"/>
    <col min="12" max="12" width="4.6640625" style="510" customWidth="1"/>
    <col min="13" max="13" width="14.6640625" style="510" customWidth="1"/>
    <col min="14" max="14" width="4.6640625" style="510" customWidth="1"/>
    <col min="15" max="15" width="14.6640625" style="510" customWidth="1"/>
    <col min="16" max="16" width="4.6640625" style="510" customWidth="1"/>
    <col min="17" max="17" width="14.6640625" style="510" customWidth="1"/>
    <col min="18" max="16384" width="8.83203125" style="510"/>
  </cols>
  <sheetData>
    <row r="1" spans="1:18" ht="16" customHeight="1">
      <c r="A1" s="773" t="s">
        <v>295</v>
      </c>
      <c r="B1" s="774"/>
      <c r="C1" s="774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</row>
    <row r="2" spans="1:18" ht="16" customHeight="1">
      <c r="A2" s="1"/>
      <c r="B2" s="623"/>
      <c r="C2" s="623"/>
      <c r="D2" s="623"/>
      <c r="E2" s="623"/>
      <c r="F2" s="775" t="s">
        <v>77</v>
      </c>
      <c r="G2" s="774"/>
      <c r="H2" s="623"/>
      <c r="I2" s="623"/>
      <c r="J2" s="623"/>
      <c r="K2" s="623"/>
      <c r="L2" s="623"/>
      <c r="M2" s="623"/>
      <c r="N2" s="776"/>
      <c r="O2" s="776"/>
      <c r="P2" s="776"/>
      <c r="Q2" s="776"/>
      <c r="R2" s="623"/>
    </row>
    <row r="3" spans="1:18" ht="16" customHeight="1">
      <c r="A3" s="1"/>
      <c r="B3" s="623"/>
      <c r="C3" s="623"/>
      <c r="D3" s="623"/>
      <c r="E3" s="623"/>
      <c r="F3" s="777" t="s">
        <v>78</v>
      </c>
      <c r="G3" s="774"/>
      <c r="H3" s="623"/>
      <c r="I3" s="623"/>
      <c r="J3" s="623"/>
      <c r="K3" s="623"/>
      <c r="L3" s="623"/>
      <c r="M3" s="623"/>
      <c r="N3" s="776"/>
      <c r="O3" s="776"/>
      <c r="P3" s="776"/>
      <c r="Q3" s="776"/>
      <c r="R3" s="623"/>
    </row>
    <row r="4" spans="1:18" ht="16" customHeight="1">
      <c r="A4" s="1"/>
      <c r="B4" s="623"/>
      <c r="C4" s="623"/>
      <c r="D4" s="623"/>
      <c r="E4" s="623"/>
      <c r="F4" s="778" t="s">
        <v>79</v>
      </c>
      <c r="G4" s="779" t="s">
        <v>80</v>
      </c>
      <c r="H4" s="778" t="s">
        <v>79</v>
      </c>
      <c r="I4" s="779" t="s">
        <v>81</v>
      </c>
      <c r="J4" s="778" t="s">
        <v>79</v>
      </c>
      <c r="K4" s="779" t="s">
        <v>82</v>
      </c>
      <c r="L4" s="780" t="s">
        <v>79</v>
      </c>
      <c r="M4" s="779" t="s">
        <v>83</v>
      </c>
      <c r="N4" s="780" t="s">
        <v>79</v>
      </c>
      <c r="O4" s="779" t="s">
        <v>84</v>
      </c>
      <c r="P4" s="780" t="s">
        <v>79</v>
      </c>
      <c r="Q4" s="779" t="s">
        <v>85</v>
      </c>
      <c r="R4" s="623"/>
    </row>
    <row r="5" spans="1:18" ht="16" customHeight="1">
      <c r="A5" s="1"/>
      <c r="B5" s="623"/>
      <c r="C5" s="623"/>
      <c r="D5" s="623"/>
      <c r="E5" s="623"/>
      <c r="F5" s="781">
        <v>1</v>
      </c>
      <c r="G5" s="782" t="s">
        <v>296</v>
      </c>
      <c r="H5" s="783">
        <v>1</v>
      </c>
      <c r="I5" s="784" t="s">
        <v>297</v>
      </c>
      <c r="J5" s="783">
        <v>1</v>
      </c>
      <c r="K5" s="784" t="s">
        <v>297</v>
      </c>
      <c r="L5" s="783">
        <v>1</v>
      </c>
      <c r="M5" s="784" t="s">
        <v>297</v>
      </c>
      <c r="N5" s="783">
        <v>1</v>
      </c>
      <c r="O5" s="784" t="s">
        <v>297</v>
      </c>
      <c r="P5" s="781">
        <v>1</v>
      </c>
      <c r="Q5" s="782" t="s">
        <v>298</v>
      </c>
      <c r="R5" s="623"/>
    </row>
    <row r="6" spans="1:18" ht="16" customHeight="1">
      <c r="A6" s="1"/>
      <c r="B6" s="623"/>
      <c r="C6" s="623"/>
      <c r="D6" s="623"/>
      <c r="E6" s="623"/>
      <c r="F6" s="785"/>
      <c r="G6" s="786">
        <f>G34</f>
        <v>150</v>
      </c>
      <c r="H6" s="787"/>
      <c r="I6" s="788">
        <f>I35</f>
        <v>402</v>
      </c>
      <c r="J6" s="787"/>
      <c r="K6" s="788">
        <f>K35</f>
        <v>16</v>
      </c>
      <c r="L6" s="787"/>
      <c r="M6" s="788">
        <f>M35</f>
        <v>71</v>
      </c>
      <c r="N6" s="787"/>
      <c r="O6" s="788">
        <f>O35</f>
        <v>85</v>
      </c>
      <c r="P6" s="787"/>
      <c r="Q6" s="786">
        <f>Q36</f>
        <v>15</v>
      </c>
      <c r="R6" s="623"/>
    </row>
    <row r="7" spans="1:18" ht="16" customHeight="1">
      <c r="A7" s="1"/>
      <c r="B7" s="623"/>
      <c r="C7" s="623"/>
      <c r="D7" s="623"/>
      <c r="E7" s="623"/>
      <c r="F7" s="789">
        <v>2</v>
      </c>
      <c r="G7" s="782" t="s">
        <v>299</v>
      </c>
      <c r="H7" s="789">
        <v>2</v>
      </c>
      <c r="I7" s="782" t="s">
        <v>298</v>
      </c>
      <c r="J7" s="789">
        <v>2</v>
      </c>
      <c r="K7" s="782" t="s">
        <v>298</v>
      </c>
      <c r="L7" s="789">
        <v>2</v>
      </c>
      <c r="M7" s="782" t="s">
        <v>298</v>
      </c>
      <c r="N7" s="789">
        <v>2</v>
      </c>
      <c r="O7" s="782" t="s">
        <v>298</v>
      </c>
      <c r="P7" s="790">
        <v>2</v>
      </c>
      <c r="Q7" s="791" t="s">
        <v>300</v>
      </c>
      <c r="R7" s="623"/>
    </row>
    <row r="8" spans="1:18" ht="16" customHeight="1">
      <c r="A8" s="1"/>
      <c r="B8" s="623"/>
      <c r="C8" s="623"/>
      <c r="D8" s="623"/>
      <c r="E8" s="623"/>
      <c r="F8" s="789"/>
      <c r="G8" s="786">
        <f>G36</f>
        <v>30</v>
      </c>
      <c r="H8" s="789"/>
      <c r="I8" s="786">
        <f>I36</f>
        <v>120</v>
      </c>
      <c r="J8" s="789"/>
      <c r="K8" s="786">
        <f>K36</f>
        <v>10</v>
      </c>
      <c r="L8" s="790"/>
      <c r="M8" s="786">
        <f>M36</f>
        <v>10</v>
      </c>
      <c r="N8" s="790"/>
      <c r="O8" s="786">
        <f>O36</f>
        <v>10</v>
      </c>
      <c r="P8" s="790"/>
      <c r="Q8" s="792">
        <f>Q37</f>
        <v>15</v>
      </c>
      <c r="R8" s="623"/>
    </row>
    <row r="9" spans="1:18" ht="16" customHeight="1">
      <c r="A9" s="1"/>
      <c r="B9" s="623"/>
      <c r="C9" s="623"/>
      <c r="D9" s="623"/>
      <c r="E9" s="623"/>
      <c r="F9" s="783">
        <v>3</v>
      </c>
      <c r="G9" s="791" t="s">
        <v>300</v>
      </c>
      <c r="H9" s="783">
        <v>3</v>
      </c>
      <c r="I9" s="791" t="s">
        <v>300</v>
      </c>
      <c r="J9" s="783">
        <v>3</v>
      </c>
      <c r="K9" s="791" t="s">
        <v>300</v>
      </c>
      <c r="L9" s="783">
        <v>3</v>
      </c>
      <c r="M9" s="791" t="s">
        <v>300</v>
      </c>
      <c r="N9" s="783">
        <v>3</v>
      </c>
      <c r="O9" s="791" t="s">
        <v>300</v>
      </c>
      <c r="P9" s="783">
        <v>3</v>
      </c>
      <c r="Q9" s="791" t="s">
        <v>301</v>
      </c>
      <c r="R9" s="623"/>
    </row>
    <row r="10" spans="1:18" ht="16" customHeight="1">
      <c r="A10" s="1"/>
      <c r="B10" s="623"/>
      <c r="C10" s="623"/>
      <c r="D10" s="623"/>
      <c r="E10" s="623"/>
      <c r="F10" s="787"/>
      <c r="G10" s="792">
        <f>G37</f>
        <v>180</v>
      </c>
      <c r="H10" s="787"/>
      <c r="I10" s="792">
        <f>I37</f>
        <v>522</v>
      </c>
      <c r="J10" s="787"/>
      <c r="K10" s="792">
        <f>K37</f>
        <v>26</v>
      </c>
      <c r="L10" s="787"/>
      <c r="M10" s="792">
        <f>M37</f>
        <v>81</v>
      </c>
      <c r="N10" s="787"/>
      <c r="O10" s="792">
        <f>O37</f>
        <v>95</v>
      </c>
      <c r="P10" s="787"/>
      <c r="Q10" s="792">
        <f>Q45</f>
        <v>0</v>
      </c>
      <c r="R10" s="623"/>
    </row>
    <row r="11" spans="1:18" ht="16" customHeight="1">
      <c r="A11" s="1"/>
      <c r="B11" s="623"/>
      <c r="C11" s="623"/>
      <c r="D11" s="623"/>
      <c r="E11" s="623"/>
      <c r="F11" s="789">
        <v>4</v>
      </c>
      <c r="G11" s="793" t="s">
        <v>97</v>
      </c>
      <c r="H11" s="790">
        <v>4</v>
      </c>
      <c r="I11" s="794" t="s">
        <v>302</v>
      </c>
      <c r="J11" s="789">
        <v>4</v>
      </c>
      <c r="K11" s="793" t="s">
        <v>152</v>
      </c>
      <c r="L11" s="790">
        <v>4</v>
      </c>
      <c r="M11" s="784" t="s">
        <v>303</v>
      </c>
      <c r="N11" s="790">
        <v>4</v>
      </c>
      <c r="O11" s="784" t="s">
        <v>303</v>
      </c>
      <c r="P11" s="789">
        <v>4</v>
      </c>
      <c r="Q11" s="782" t="s">
        <v>97</v>
      </c>
      <c r="R11" s="623"/>
    </row>
    <row r="12" spans="1:18" ht="16" customHeight="1">
      <c r="A12" s="1"/>
      <c r="B12" s="623"/>
      <c r="C12" s="623"/>
      <c r="D12" s="623"/>
      <c r="E12" s="623"/>
      <c r="F12" s="789"/>
      <c r="G12" s="795">
        <f>G46</f>
        <v>30</v>
      </c>
      <c r="H12" s="790"/>
      <c r="I12" s="796">
        <f>I39</f>
        <v>1663</v>
      </c>
      <c r="J12" s="789"/>
      <c r="K12" s="795">
        <f>K38</f>
        <v>600</v>
      </c>
      <c r="L12" s="790"/>
      <c r="M12" s="796">
        <f>M42</f>
        <v>7372</v>
      </c>
      <c r="N12" s="790"/>
      <c r="O12" s="796">
        <f>O42</f>
        <v>9399</v>
      </c>
      <c r="P12" s="789"/>
      <c r="Q12" s="795">
        <f>Q46</f>
        <v>20</v>
      </c>
      <c r="R12" s="623"/>
    </row>
    <row r="13" spans="1:18" ht="16" customHeight="1">
      <c r="A13" s="1"/>
      <c r="B13" s="623"/>
      <c r="C13" s="623"/>
      <c r="D13" s="623"/>
      <c r="E13" s="623"/>
      <c r="F13" s="781">
        <v>5</v>
      </c>
      <c r="G13" s="782" t="s">
        <v>186</v>
      </c>
      <c r="H13" s="781">
        <v>5</v>
      </c>
      <c r="I13" s="782" t="s">
        <v>304</v>
      </c>
      <c r="J13" s="783">
        <v>5</v>
      </c>
      <c r="K13" s="784" t="s">
        <v>303</v>
      </c>
      <c r="L13" s="783">
        <v>5</v>
      </c>
      <c r="M13" s="784" t="s">
        <v>305</v>
      </c>
      <c r="N13" s="783">
        <v>5</v>
      </c>
      <c r="O13" s="784" t="s">
        <v>305</v>
      </c>
      <c r="P13" s="783">
        <v>5</v>
      </c>
      <c r="Q13" s="784" t="s">
        <v>186</v>
      </c>
      <c r="R13" s="623"/>
    </row>
    <row r="14" spans="1:18" ht="16" customHeight="1">
      <c r="A14" s="1"/>
      <c r="B14" s="623"/>
      <c r="C14" s="623"/>
      <c r="D14" s="623"/>
      <c r="E14" s="623"/>
      <c r="F14" s="785"/>
      <c r="G14" s="795">
        <f>G47</f>
        <v>0</v>
      </c>
      <c r="H14" s="785"/>
      <c r="I14" s="795">
        <f>I40</f>
        <v>400</v>
      </c>
      <c r="J14" s="787"/>
      <c r="K14" s="796">
        <f>K42</f>
        <v>1659</v>
      </c>
      <c r="L14" s="787"/>
      <c r="M14" s="788">
        <f>M43</f>
        <v>445</v>
      </c>
      <c r="N14" s="787"/>
      <c r="O14" s="788">
        <f>O43</f>
        <v>11</v>
      </c>
      <c r="P14" s="787"/>
      <c r="Q14" s="788">
        <f>Q47</f>
        <v>0</v>
      </c>
      <c r="R14" s="623"/>
    </row>
    <row r="15" spans="1:18" ht="16" customHeight="1">
      <c r="A15" s="1"/>
      <c r="B15" s="623"/>
      <c r="C15" s="623"/>
      <c r="D15" s="623"/>
      <c r="E15" s="623"/>
      <c r="F15" s="783">
        <v>6</v>
      </c>
      <c r="G15" s="784" t="s">
        <v>238</v>
      </c>
      <c r="H15" s="783">
        <v>6</v>
      </c>
      <c r="I15" s="784" t="s">
        <v>306</v>
      </c>
      <c r="J15" s="783">
        <v>6</v>
      </c>
      <c r="K15" s="784" t="s">
        <v>305</v>
      </c>
      <c r="L15" s="781">
        <v>6</v>
      </c>
      <c r="M15" s="793" t="s">
        <v>307</v>
      </c>
      <c r="N15" s="781">
        <v>6</v>
      </c>
      <c r="O15" s="793" t="s">
        <v>307</v>
      </c>
      <c r="P15" s="783">
        <v>6</v>
      </c>
      <c r="Q15" s="794" t="s">
        <v>238</v>
      </c>
      <c r="R15" s="623"/>
    </row>
    <row r="16" spans="1:18" ht="16" customHeight="1">
      <c r="A16" s="1"/>
      <c r="B16" s="623"/>
      <c r="C16" s="623"/>
      <c r="D16" s="623"/>
      <c r="E16" s="623"/>
      <c r="F16" s="787"/>
      <c r="G16" s="788">
        <f>G48</f>
        <v>210</v>
      </c>
      <c r="H16" s="787"/>
      <c r="I16" s="797">
        <f>I41</f>
        <v>2063</v>
      </c>
      <c r="J16" s="787"/>
      <c r="K16" s="788">
        <f>K43</f>
        <v>114</v>
      </c>
      <c r="L16" s="787"/>
      <c r="M16" s="786">
        <f>M44</f>
        <v>100</v>
      </c>
      <c r="N16" s="787"/>
      <c r="O16" s="786">
        <f>O44</f>
        <v>150</v>
      </c>
      <c r="P16" s="787"/>
      <c r="Q16" s="788">
        <f>Q48</f>
        <v>35</v>
      </c>
      <c r="R16" s="623"/>
    </row>
    <row r="17" spans="1:18" ht="16" customHeight="1">
      <c r="A17" s="1"/>
      <c r="B17" s="623"/>
      <c r="C17" s="623"/>
      <c r="D17" s="623"/>
      <c r="E17" s="623"/>
      <c r="F17" s="783">
        <v>7</v>
      </c>
      <c r="G17" s="794" t="s">
        <v>308</v>
      </c>
      <c r="H17" s="781">
        <v>7</v>
      </c>
      <c r="I17" s="793" t="s">
        <v>97</v>
      </c>
      <c r="J17" s="781">
        <v>7</v>
      </c>
      <c r="K17" s="793" t="s">
        <v>307</v>
      </c>
      <c r="L17" s="783">
        <v>7</v>
      </c>
      <c r="M17" s="794" t="s">
        <v>301</v>
      </c>
      <c r="N17" s="783">
        <v>7</v>
      </c>
      <c r="O17" s="794" t="s">
        <v>301</v>
      </c>
      <c r="P17" s="783">
        <v>7</v>
      </c>
      <c r="Q17" s="794" t="s">
        <v>101</v>
      </c>
      <c r="R17" s="623"/>
    </row>
    <row r="18" spans="1:18" ht="16" customHeight="1">
      <c r="A18" s="1"/>
      <c r="B18" s="623"/>
      <c r="C18" s="623"/>
      <c r="D18" s="623"/>
      <c r="E18" s="623"/>
      <c r="F18" s="787"/>
      <c r="G18" s="788">
        <f>G50</f>
        <v>210</v>
      </c>
      <c r="H18" s="785"/>
      <c r="I18" s="786">
        <f>I46</f>
        <v>30</v>
      </c>
      <c r="J18" s="785"/>
      <c r="K18" s="786">
        <f>K44</f>
        <v>200</v>
      </c>
      <c r="L18" s="787"/>
      <c r="M18" s="796">
        <f>M45</f>
        <v>7917</v>
      </c>
      <c r="N18" s="787"/>
      <c r="O18" s="796">
        <f>O45</f>
        <v>9560</v>
      </c>
      <c r="P18" s="787"/>
      <c r="Q18" s="798">
        <f>Q49</f>
        <v>0</v>
      </c>
      <c r="R18" s="623"/>
    </row>
    <row r="19" spans="1:18" ht="16" customHeight="1">
      <c r="A19" s="1"/>
      <c r="B19" s="623"/>
      <c r="C19" s="623"/>
      <c r="D19" s="623"/>
      <c r="E19" s="623"/>
      <c r="F19" s="799"/>
      <c r="G19" s="800"/>
      <c r="H19" s="790">
        <v>8</v>
      </c>
      <c r="I19" s="794" t="s">
        <v>186</v>
      </c>
      <c r="J19" s="790">
        <v>8</v>
      </c>
      <c r="K19" s="794" t="s">
        <v>301</v>
      </c>
      <c r="L19" s="789">
        <v>8</v>
      </c>
      <c r="M19" s="782" t="s">
        <v>97</v>
      </c>
      <c r="N19" s="789">
        <v>8</v>
      </c>
      <c r="O19" s="782" t="s">
        <v>97</v>
      </c>
      <c r="P19" s="783">
        <v>8</v>
      </c>
      <c r="Q19" s="791" t="s">
        <v>308</v>
      </c>
      <c r="R19" s="623"/>
    </row>
    <row r="20" spans="1:18" ht="16" customHeight="1">
      <c r="A20" s="1"/>
      <c r="B20" s="623"/>
      <c r="C20" s="623"/>
      <c r="D20" s="623"/>
      <c r="E20" s="623"/>
      <c r="F20" s="799"/>
      <c r="G20" s="800"/>
      <c r="H20" s="790"/>
      <c r="I20" s="798">
        <f>I47</f>
        <v>3</v>
      </c>
      <c r="J20" s="790"/>
      <c r="K20" s="796">
        <f>K45</f>
        <v>1973</v>
      </c>
      <c r="L20" s="790"/>
      <c r="M20" s="795">
        <f>M46</f>
        <v>30</v>
      </c>
      <c r="N20" s="790"/>
      <c r="O20" s="795">
        <f>O46</f>
        <v>30</v>
      </c>
      <c r="P20" s="787"/>
      <c r="Q20" s="792">
        <f>Q50</f>
        <v>35</v>
      </c>
      <c r="R20" s="623"/>
    </row>
    <row r="21" spans="1:18" ht="16" customHeight="1">
      <c r="A21" s="1"/>
      <c r="B21" s="623"/>
      <c r="C21" s="623"/>
      <c r="D21" s="623"/>
      <c r="E21" s="623"/>
      <c r="F21" s="799"/>
      <c r="G21" s="800"/>
      <c r="H21" s="783">
        <v>9</v>
      </c>
      <c r="I21" s="784" t="s">
        <v>238</v>
      </c>
      <c r="J21" s="781">
        <v>9</v>
      </c>
      <c r="K21" s="782" t="s">
        <v>97</v>
      </c>
      <c r="L21" s="783">
        <v>9</v>
      </c>
      <c r="M21" s="784" t="s">
        <v>186</v>
      </c>
      <c r="N21" s="783">
        <v>9</v>
      </c>
      <c r="O21" s="784" t="s">
        <v>186</v>
      </c>
      <c r="P21" s="776"/>
      <c r="Q21" s="776"/>
      <c r="R21" s="623"/>
    </row>
    <row r="22" spans="1:18" ht="16" customHeight="1">
      <c r="A22" s="1"/>
      <c r="B22" s="623"/>
      <c r="C22" s="623"/>
      <c r="D22" s="623"/>
      <c r="E22" s="623"/>
      <c r="F22" s="799"/>
      <c r="G22" s="800"/>
      <c r="H22" s="787"/>
      <c r="I22" s="796">
        <f>I48</f>
        <v>2618</v>
      </c>
      <c r="J22" s="785"/>
      <c r="K22" s="795">
        <f>K46</f>
        <v>30</v>
      </c>
      <c r="L22" s="787"/>
      <c r="M22" s="788">
        <f>M47</f>
        <v>46</v>
      </c>
      <c r="N22" s="787"/>
      <c r="O22" s="788">
        <f>O47</f>
        <v>23</v>
      </c>
      <c r="P22" s="776"/>
      <c r="Q22" s="776"/>
      <c r="R22" s="623"/>
    </row>
    <row r="23" spans="1:18" ht="16" customHeight="1">
      <c r="A23" s="1"/>
      <c r="B23" s="623"/>
      <c r="C23" s="623"/>
      <c r="D23" s="623"/>
      <c r="E23" s="623"/>
      <c r="F23" s="799"/>
      <c r="G23" s="800"/>
      <c r="H23" s="783">
        <v>10</v>
      </c>
      <c r="I23" s="784" t="s">
        <v>101</v>
      </c>
      <c r="J23" s="783">
        <v>10</v>
      </c>
      <c r="K23" s="784" t="s">
        <v>186</v>
      </c>
      <c r="L23" s="783">
        <v>10</v>
      </c>
      <c r="M23" s="794" t="s">
        <v>238</v>
      </c>
      <c r="N23" s="783">
        <v>10</v>
      </c>
      <c r="O23" s="794" t="s">
        <v>238</v>
      </c>
      <c r="P23" s="776"/>
      <c r="Q23" s="776"/>
      <c r="R23" s="623"/>
    </row>
    <row r="24" spans="1:18" ht="16" customHeight="1">
      <c r="A24" s="1"/>
      <c r="B24" s="623"/>
      <c r="C24" s="623"/>
      <c r="D24" s="623"/>
      <c r="E24" s="623"/>
      <c r="F24" s="799"/>
      <c r="G24" s="800"/>
      <c r="H24" s="787"/>
      <c r="I24" s="788">
        <f>I49</f>
        <v>210</v>
      </c>
      <c r="J24" s="787"/>
      <c r="K24" s="788">
        <f>K47</f>
        <v>31</v>
      </c>
      <c r="L24" s="787"/>
      <c r="M24" s="797">
        <f>M48</f>
        <v>8074</v>
      </c>
      <c r="N24" s="787"/>
      <c r="O24" s="797">
        <f>O48</f>
        <v>9708</v>
      </c>
      <c r="P24" s="776"/>
      <c r="Q24" s="776"/>
      <c r="R24" s="623"/>
    </row>
    <row r="25" spans="1:18" ht="16" customHeight="1">
      <c r="A25" s="1"/>
      <c r="B25" s="623"/>
      <c r="C25" s="623"/>
      <c r="D25" s="623"/>
      <c r="E25" s="623"/>
      <c r="F25" s="799"/>
      <c r="G25" s="800"/>
      <c r="H25" s="783">
        <v>11</v>
      </c>
      <c r="I25" s="794" t="s">
        <v>308</v>
      </c>
      <c r="J25" s="783">
        <v>11</v>
      </c>
      <c r="K25" s="794" t="s">
        <v>238</v>
      </c>
      <c r="L25" s="783">
        <v>11</v>
      </c>
      <c r="M25" s="784" t="s">
        <v>101</v>
      </c>
      <c r="N25" s="783">
        <v>11</v>
      </c>
      <c r="O25" s="784" t="s">
        <v>101</v>
      </c>
      <c r="P25" s="776"/>
      <c r="Q25" s="776"/>
      <c r="R25" s="623"/>
    </row>
    <row r="26" spans="1:18" ht="16" customHeight="1">
      <c r="A26" s="1"/>
      <c r="B26" s="623"/>
      <c r="C26" s="623"/>
      <c r="D26" s="623"/>
      <c r="E26" s="623"/>
      <c r="F26" s="799"/>
      <c r="G26" s="800"/>
      <c r="H26" s="787"/>
      <c r="I26" s="797">
        <f>I50</f>
        <v>2828</v>
      </c>
      <c r="J26" s="787"/>
      <c r="K26" s="797">
        <f>K48</f>
        <v>2660</v>
      </c>
      <c r="L26" s="787"/>
      <c r="M26" s="797">
        <f>M49</f>
        <v>3042</v>
      </c>
      <c r="N26" s="787"/>
      <c r="O26" s="797">
        <f>O49</f>
        <v>1541</v>
      </c>
      <c r="P26" s="776"/>
      <c r="Q26" s="776"/>
      <c r="R26" s="623"/>
    </row>
    <row r="27" spans="1:18" ht="16" customHeight="1">
      <c r="A27" s="1"/>
      <c r="B27" s="623"/>
      <c r="C27" s="623"/>
      <c r="D27" s="623"/>
      <c r="E27" s="623"/>
      <c r="F27" s="799"/>
      <c r="G27" s="800"/>
      <c r="H27" s="623"/>
      <c r="I27" s="623"/>
      <c r="J27" s="783">
        <v>12</v>
      </c>
      <c r="K27" s="784" t="s">
        <v>101</v>
      </c>
      <c r="L27" s="783">
        <v>12</v>
      </c>
      <c r="M27" s="794" t="s">
        <v>308</v>
      </c>
      <c r="N27" s="783">
        <v>12</v>
      </c>
      <c r="O27" s="794" t="s">
        <v>308</v>
      </c>
      <c r="P27" s="776"/>
      <c r="Q27" s="776"/>
      <c r="R27" s="623"/>
    </row>
    <row r="28" spans="1:18" ht="16" customHeight="1">
      <c r="A28" s="1"/>
      <c r="B28" s="623"/>
      <c r="C28" s="623"/>
      <c r="D28" s="623"/>
      <c r="E28" s="623"/>
      <c r="F28" s="799"/>
      <c r="G28" s="800"/>
      <c r="H28" s="623"/>
      <c r="I28" s="623"/>
      <c r="J28" s="787"/>
      <c r="K28" s="797">
        <f>K49</f>
        <v>2560</v>
      </c>
      <c r="L28" s="787"/>
      <c r="M28" s="797">
        <f>M50</f>
        <v>11116</v>
      </c>
      <c r="N28" s="787"/>
      <c r="O28" s="797">
        <f>O50</f>
        <v>11249</v>
      </c>
      <c r="P28" s="776"/>
      <c r="Q28" s="776"/>
      <c r="R28" s="623"/>
    </row>
    <row r="29" spans="1:18" ht="16" customHeight="1">
      <c r="A29" s="1"/>
      <c r="B29" s="623"/>
      <c r="C29" s="623"/>
      <c r="D29" s="623"/>
      <c r="E29" s="623"/>
      <c r="F29" s="799"/>
      <c r="G29" s="800"/>
      <c r="H29" s="623"/>
      <c r="I29" s="623"/>
      <c r="J29" s="783">
        <v>13</v>
      </c>
      <c r="K29" s="794" t="s">
        <v>308</v>
      </c>
      <c r="L29" s="623"/>
      <c r="M29" s="623"/>
      <c r="N29" s="776"/>
      <c r="O29" s="776"/>
      <c r="P29" s="776"/>
      <c r="Q29" s="776"/>
      <c r="R29" s="623"/>
    </row>
    <row r="30" spans="1:18" ht="16" customHeight="1">
      <c r="A30" s="1"/>
      <c r="B30" s="623"/>
      <c r="C30" s="623"/>
      <c r="D30" s="623"/>
      <c r="E30" s="623"/>
      <c r="F30" s="799"/>
      <c r="G30" s="800"/>
      <c r="H30" s="623"/>
      <c r="I30" s="623"/>
      <c r="J30" s="787"/>
      <c r="K30" s="797">
        <f>K50</f>
        <v>5220</v>
      </c>
      <c r="L30" s="623"/>
      <c r="M30" s="623"/>
      <c r="N30" s="776"/>
      <c r="O30" s="776"/>
      <c r="P30" s="776"/>
      <c r="Q30" s="776"/>
      <c r="R30" s="623"/>
    </row>
    <row r="31" spans="1:18" ht="16" customHeight="1">
      <c r="A31" s="1"/>
      <c r="B31" s="623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776"/>
      <c r="O31" s="776"/>
      <c r="P31" s="776"/>
      <c r="Q31" s="776"/>
      <c r="R31" s="623"/>
    </row>
    <row r="32" spans="1:18" ht="16" customHeight="1">
      <c r="A32" s="1"/>
      <c r="B32" s="801" t="s">
        <v>309</v>
      </c>
      <c r="C32" s="774"/>
      <c r="D32" s="623"/>
      <c r="E32" s="623"/>
      <c r="F32" s="623"/>
      <c r="G32" s="623"/>
      <c r="H32" s="623"/>
      <c r="I32" s="623"/>
      <c r="J32" s="623"/>
      <c r="K32" s="623"/>
      <c r="L32" s="623"/>
      <c r="M32" s="623"/>
      <c r="N32" s="802" t="s">
        <v>310</v>
      </c>
      <c r="O32" s="803"/>
      <c r="P32" s="803"/>
      <c r="Q32" s="803"/>
      <c r="R32" s="623"/>
    </row>
    <row r="33" spans="1:18" ht="16" customHeight="1" thickBot="1">
      <c r="A33" s="804" t="s">
        <v>311</v>
      </c>
      <c r="B33" s="805"/>
      <c r="C33" s="806"/>
      <c r="D33" s="807"/>
      <c r="E33" s="808" t="s">
        <v>123</v>
      </c>
      <c r="F33" s="809" t="s">
        <v>9</v>
      </c>
      <c r="G33" s="810"/>
      <c r="H33" s="809" t="s">
        <v>119</v>
      </c>
      <c r="I33" s="810"/>
      <c r="J33" s="809" t="s">
        <v>120</v>
      </c>
      <c r="K33" s="810"/>
      <c r="L33" s="809" t="s">
        <v>121</v>
      </c>
      <c r="M33" s="810"/>
      <c r="N33" s="809" t="s">
        <v>312</v>
      </c>
      <c r="O33" s="810"/>
      <c r="P33" s="809" t="s">
        <v>313</v>
      </c>
      <c r="Q33" s="810"/>
      <c r="R33" s="623"/>
    </row>
    <row r="34" spans="1:18" ht="16" customHeight="1" thickBot="1">
      <c r="A34" s="811" t="s">
        <v>15</v>
      </c>
      <c r="B34" s="812" t="s">
        <v>272</v>
      </c>
      <c r="C34" s="813" t="s">
        <v>314</v>
      </c>
      <c r="D34" s="814"/>
      <c r="E34" s="815">
        <f>G34</f>
        <v>150</v>
      </c>
      <c r="F34" s="816"/>
      <c r="G34" s="817">
        <v>150</v>
      </c>
      <c r="H34" s="818"/>
      <c r="I34" s="415" t="s">
        <v>315</v>
      </c>
      <c r="J34" s="816"/>
      <c r="K34" s="819" t="s">
        <v>315</v>
      </c>
      <c r="L34" s="818"/>
      <c r="M34" s="415" t="s">
        <v>315</v>
      </c>
      <c r="N34" s="816"/>
      <c r="O34" s="819" t="s">
        <v>315</v>
      </c>
      <c r="P34" s="816"/>
      <c r="Q34" s="819" t="s">
        <v>315</v>
      </c>
      <c r="R34" s="623"/>
    </row>
    <row r="35" spans="1:18" ht="16" customHeight="1" thickTop="1" thickBot="1">
      <c r="A35" s="820"/>
      <c r="B35" s="812"/>
      <c r="C35" s="821" t="s">
        <v>316</v>
      </c>
      <c r="D35" s="822"/>
      <c r="E35" s="823">
        <f>I35+K35+M35+O35</f>
        <v>574</v>
      </c>
      <c r="F35" s="824"/>
      <c r="G35" s="825" t="s">
        <v>315</v>
      </c>
      <c r="H35" s="15" t="s">
        <v>29</v>
      </c>
      <c r="I35" s="826">
        <f>ROUND(19000*3.02/100*70/100,0)</f>
        <v>402</v>
      </c>
      <c r="J35" s="824"/>
      <c r="K35" s="827">
        <f>ROUND(19000*3.02/100*30/100*9.33/100,0)</f>
        <v>16</v>
      </c>
      <c r="L35" s="15" t="s">
        <v>35</v>
      </c>
      <c r="M35" s="826">
        <f>ROUND(19000*3.02/100*30/100*41.14/100,0)</f>
        <v>71</v>
      </c>
      <c r="N35" s="824"/>
      <c r="O35" s="828">
        <f>ROUND(19000*3.02/100*30/100*49.53/100,0)</f>
        <v>85</v>
      </c>
      <c r="P35" s="824"/>
      <c r="Q35" s="829" t="s">
        <v>315</v>
      </c>
      <c r="R35" s="623"/>
    </row>
    <row r="36" spans="1:18" ht="16" customHeight="1" thickTop="1">
      <c r="A36" s="820"/>
      <c r="B36" s="812"/>
      <c r="C36" s="821" t="s">
        <v>317</v>
      </c>
      <c r="D36" s="830"/>
      <c r="E36" s="831">
        <f>G36+I36+K36+M36+O36+Q36</f>
        <v>195</v>
      </c>
      <c r="F36" s="824"/>
      <c r="G36" s="832">
        <v>30</v>
      </c>
      <c r="H36" s="816"/>
      <c r="I36" s="817">
        <v>120</v>
      </c>
      <c r="J36" s="824"/>
      <c r="K36" s="832">
        <v>10</v>
      </c>
      <c r="L36" s="833"/>
      <c r="M36" s="817">
        <v>10</v>
      </c>
      <c r="N36" s="834"/>
      <c r="O36" s="832">
        <v>10</v>
      </c>
      <c r="P36" s="834"/>
      <c r="Q36" s="832">
        <v>15</v>
      </c>
      <c r="R36" s="623"/>
    </row>
    <row r="37" spans="1:18" ht="16" customHeight="1">
      <c r="A37" s="820"/>
      <c r="B37" s="835"/>
      <c r="C37" s="835" t="s">
        <v>300</v>
      </c>
      <c r="D37" s="836"/>
      <c r="E37" s="837">
        <f>SUM(E34:E36)</f>
        <v>919</v>
      </c>
      <c r="F37" s="838"/>
      <c r="G37" s="839">
        <f>SUM(G34:G36)</f>
        <v>180</v>
      </c>
      <c r="H37" s="838"/>
      <c r="I37" s="840">
        <f>SUM(I34:I36)</f>
        <v>522</v>
      </c>
      <c r="J37" s="838"/>
      <c r="K37" s="840">
        <f>SUM(K34:K36)</f>
        <v>26</v>
      </c>
      <c r="L37" s="838"/>
      <c r="M37" s="840">
        <f>SUM(M34:M36)</f>
        <v>81</v>
      </c>
      <c r="N37" s="838"/>
      <c r="O37" s="840">
        <f>SUM(O34:O36)</f>
        <v>95</v>
      </c>
      <c r="P37" s="838"/>
      <c r="Q37" s="839">
        <f>SUM(Q34:Q36)</f>
        <v>15</v>
      </c>
      <c r="R37" s="623"/>
    </row>
    <row r="38" spans="1:18" ht="16" customHeight="1" thickBot="1">
      <c r="A38" s="820"/>
      <c r="B38" s="835" t="s">
        <v>152</v>
      </c>
      <c r="C38" s="835"/>
      <c r="D38" s="841"/>
      <c r="E38" s="842">
        <f>K38</f>
        <v>600</v>
      </c>
      <c r="F38" s="843"/>
      <c r="G38" s="410" t="s">
        <v>315</v>
      </c>
      <c r="H38" s="818"/>
      <c r="I38" s="415" t="s">
        <v>315</v>
      </c>
      <c r="J38" s="843"/>
      <c r="K38" s="844">
        <v>600</v>
      </c>
      <c r="L38" s="843"/>
      <c r="M38" s="410" t="s">
        <v>315</v>
      </c>
      <c r="N38" s="843"/>
      <c r="O38" s="410" t="s">
        <v>315</v>
      </c>
      <c r="P38" s="843"/>
      <c r="Q38" s="410" t="s">
        <v>315</v>
      </c>
      <c r="R38" s="623"/>
    </row>
    <row r="39" spans="1:18" ht="16" customHeight="1" thickTop="1" thickBot="1">
      <c r="A39" s="820"/>
      <c r="B39" s="812" t="s">
        <v>219</v>
      </c>
      <c r="C39" s="813" t="s">
        <v>302</v>
      </c>
      <c r="D39" s="845"/>
      <c r="E39" s="846">
        <f t="shared" ref="E39:E40" si="0">I39</f>
        <v>1663</v>
      </c>
      <c r="F39" s="816"/>
      <c r="G39" s="847" t="s">
        <v>315</v>
      </c>
      <c r="H39" s="15" t="s">
        <v>37</v>
      </c>
      <c r="I39" s="848">
        <f>ROUND(1644*101/100,0)+ROUND(1644*101/100*6/100*10/365,0)</f>
        <v>1663</v>
      </c>
      <c r="J39" s="816"/>
      <c r="K39" s="819" t="s">
        <v>315</v>
      </c>
      <c r="L39" s="816"/>
      <c r="M39" s="819" t="s">
        <v>315</v>
      </c>
      <c r="N39" s="816"/>
      <c r="O39" s="819" t="s">
        <v>315</v>
      </c>
      <c r="P39" s="816"/>
      <c r="Q39" s="819" t="s">
        <v>315</v>
      </c>
      <c r="R39" s="623"/>
    </row>
    <row r="40" spans="1:18" ht="16" customHeight="1" thickTop="1">
      <c r="A40" s="820"/>
      <c r="B40" s="812"/>
      <c r="C40" s="821" t="s">
        <v>304</v>
      </c>
      <c r="D40" s="822"/>
      <c r="E40" s="823">
        <f t="shared" si="0"/>
        <v>400</v>
      </c>
      <c r="F40" s="824"/>
      <c r="G40" s="829" t="s">
        <v>315</v>
      </c>
      <c r="H40" s="816"/>
      <c r="I40" s="849">
        <v>400</v>
      </c>
      <c r="J40" s="824"/>
      <c r="K40" s="829" t="s">
        <v>315</v>
      </c>
      <c r="L40" s="824"/>
      <c r="M40" s="829" t="s">
        <v>315</v>
      </c>
      <c r="N40" s="824"/>
      <c r="O40" s="829" t="s">
        <v>315</v>
      </c>
      <c r="P40" s="824"/>
      <c r="Q40" s="829" t="s">
        <v>315</v>
      </c>
      <c r="R40" s="623"/>
    </row>
    <row r="41" spans="1:18" ht="16" customHeight="1" thickBot="1">
      <c r="A41" s="820"/>
      <c r="B41" s="835"/>
      <c r="C41" s="835" t="s">
        <v>306</v>
      </c>
      <c r="D41" s="850"/>
      <c r="E41" s="851">
        <f>SUM(E39:E40)</f>
        <v>2063</v>
      </c>
      <c r="F41" s="843"/>
      <c r="G41" s="410" t="s">
        <v>315</v>
      </c>
      <c r="H41" s="843"/>
      <c r="I41" s="852">
        <f>SUM(I39+I40)</f>
        <v>2063</v>
      </c>
      <c r="J41" s="843"/>
      <c r="K41" s="410" t="s">
        <v>315</v>
      </c>
      <c r="L41" s="818"/>
      <c r="M41" s="415" t="s">
        <v>315</v>
      </c>
      <c r="N41" s="818"/>
      <c r="O41" s="415" t="s">
        <v>315</v>
      </c>
      <c r="P41" s="843"/>
      <c r="Q41" s="410" t="s">
        <v>315</v>
      </c>
      <c r="R41" s="623"/>
    </row>
    <row r="42" spans="1:18" ht="16" customHeight="1" thickTop="1" thickBot="1">
      <c r="A42" s="820"/>
      <c r="B42" s="812" t="s">
        <v>318</v>
      </c>
      <c r="C42" s="813" t="s">
        <v>319</v>
      </c>
      <c r="D42" s="845"/>
      <c r="E42" s="846">
        <f>19000-570</f>
        <v>18430</v>
      </c>
      <c r="F42" s="816"/>
      <c r="G42" s="819" t="s">
        <v>315</v>
      </c>
      <c r="H42" s="816"/>
      <c r="I42" s="819" t="s">
        <v>315</v>
      </c>
      <c r="J42" s="818"/>
      <c r="K42" s="853">
        <f>ROUND((19000-570)*9/100,0)</f>
        <v>1659</v>
      </c>
      <c r="L42" s="15" t="s">
        <v>40</v>
      </c>
      <c r="M42" s="854">
        <f>ROUND((19000-570)*40/100,0)</f>
        <v>7372</v>
      </c>
      <c r="N42" s="19" t="s">
        <v>43</v>
      </c>
      <c r="O42" s="848">
        <f>ROUND((19000-570)*51/100,0)</f>
        <v>9399</v>
      </c>
      <c r="P42" s="816"/>
      <c r="Q42" s="819" t="s">
        <v>315</v>
      </c>
      <c r="R42" s="623"/>
    </row>
    <row r="43" spans="1:18" ht="16" customHeight="1" thickTop="1" thickBot="1">
      <c r="A43" s="820"/>
      <c r="B43" s="812"/>
      <c r="C43" s="821" t="s">
        <v>305</v>
      </c>
      <c r="D43" s="822"/>
      <c r="E43" s="823">
        <f>19000*3/100</f>
        <v>570</v>
      </c>
      <c r="F43" s="824"/>
      <c r="G43" s="829" t="s">
        <v>315</v>
      </c>
      <c r="H43" s="824"/>
      <c r="I43" s="825" t="s">
        <v>315</v>
      </c>
      <c r="J43" s="15" t="s">
        <v>45</v>
      </c>
      <c r="K43" s="826">
        <f>E43*20/100</f>
        <v>114</v>
      </c>
      <c r="L43" s="816"/>
      <c r="M43" s="855">
        <f>ROUND(E43*78/100,0)</f>
        <v>445</v>
      </c>
      <c r="N43" s="816"/>
      <c r="O43" s="855">
        <f>ROUND(E43*2/100,0)</f>
        <v>11</v>
      </c>
      <c r="P43" s="824"/>
      <c r="Q43" s="829" t="s">
        <v>315</v>
      </c>
      <c r="R43" s="623"/>
    </row>
    <row r="44" spans="1:18" ht="16" customHeight="1" thickTop="1">
      <c r="A44" s="820"/>
      <c r="B44" s="812"/>
      <c r="C44" s="821" t="s">
        <v>307</v>
      </c>
      <c r="D44" s="830"/>
      <c r="E44" s="831">
        <f>K44+M44+O44</f>
        <v>450</v>
      </c>
      <c r="F44" s="824"/>
      <c r="G44" s="829" t="s">
        <v>315</v>
      </c>
      <c r="H44" s="824"/>
      <c r="I44" s="829" t="s">
        <v>315</v>
      </c>
      <c r="J44" s="816"/>
      <c r="K44" s="817">
        <v>200</v>
      </c>
      <c r="L44" s="856"/>
      <c r="M44" s="832">
        <v>100</v>
      </c>
      <c r="N44" s="834"/>
      <c r="O44" s="832">
        <v>150</v>
      </c>
      <c r="P44" s="824"/>
      <c r="Q44" s="829" t="s">
        <v>315</v>
      </c>
      <c r="R44" s="623"/>
    </row>
    <row r="45" spans="1:18" ht="16" customHeight="1">
      <c r="A45" s="820"/>
      <c r="B45" s="835"/>
      <c r="C45" s="835" t="s">
        <v>301</v>
      </c>
      <c r="D45" s="850"/>
      <c r="E45" s="851">
        <f>SUM(E42:E44)</f>
        <v>19450</v>
      </c>
      <c r="F45" s="843"/>
      <c r="G45" s="410" t="s">
        <v>315</v>
      </c>
      <c r="H45" s="843"/>
      <c r="I45" s="410" t="s">
        <v>315</v>
      </c>
      <c r="J45" s="843"/>
      <c r="K45" s="852">
        <f>SUM(K42:K44)</f>
        <v>1973</v>
      </c>
      <c r="L45" s="838"/>
      <c r="M45" s="852">
        <f>SUM(M42:M44)</f>
        <v>7917</v>
      </c>
      <c r="N45" s="838"/>
      <c r="O45" s="852">
        <f>SUM(O42:O44)</f>
        <v>9560</v>
      </c>
      <c r="P45" s="838"/>
      <c r="Q45" s="840">
        <f>SUM(Q42:Q44)</f>
        <v>0</v>
      </c>
      <c r="R45" s="623"/>
    </row>
    <row r="46" spans="1:18" ht="16" customHeight="1" thickBot="1">
      <c r="A46" s="820"/>
      <c r="B46" s="812" t="s">
        <v>97</v>
      </c>
      <c r="C46" s="812"/>
      <c r="D46" s="841"/>
      <c r="E46" s="842">
        <f>G46+I46+K46+M46+O46+Q46</f>
        <v>170</v>
      </c>
      <c r="F46" s="818"/>
      <c r="G46" s="857">
        <v>30</v>
      </c>
      <c r="H46" s="858"/>
      <c r="I46" s="857">
        <v>30</v>
      </c>
      <c r="J46" s="858"/>
      <c r="K46" s="857">
        <v>30</v>
      </c>
      <c r="L46" s="858"/>
      <c r="M46" s="857">
        <v>30</v>
      </c>
      <c r="N46" s="859"/>
      <c r="O46" s="857">
        <v>30</v>
      </c>
      <c r="P46" s="859"/>
      <c r="Q46" s="857">
        <v>20</v>
      </c>
      <c r="R46" s="623"/>
    </row>
    <row r="47" spans="1:18" ht="16" customHeight="1" thickTop="1" thickBot="1">
      <c r="A47" s="820"/>
      <c r="B47" s="662" t="s">
        <v>186</v>
      </c>
      <c r="C47" s="662"/>
      <c r="D47" s="860"/>
      <c r="E47" s="861">
        <f>I47+K47+M47+O47</f>
        <v>103</v>
      </c>
      <c r="F47" s="862"/>
      <c r="G47" s="863">
        <v>0</v>
      </c>
      <c r="H47" s="15" t="s">
        <v>46</v>
      </c>
      <c r="I47" s="826">
        <f>ROUND(G61*1.2/100,0)</f>
        <v>3</v>
      </c>
      <c r="J47" s="862"/>
      <c r="K47" s="864">
        <f>ROUND(I61*1.2/100,0)</f>
        <v>31</v>
      </c>
      <c r="L47" s="15" t="s">
        <v>47</v>
      </c>
      <c r="M47" s="865">
        <f>ROUND(K61*1.5/100,0)</f>
        <v>46</v>
      </c>
      <c r="N47" s="19" t="s">
        <v>48</v>
      </c>
      <c r="O47" s="826">
        <f>ROUND(M61*1.5/100,0)</f>
        <v>23</v>
      </c>
      <c r="P47" s="862"/>
      <c r="Q47" s="866">
        <f>ROUND(O61*1.5/100,0)</f>
        <v>0</v>
      </c>
      <c r="R47" s="623"/>
    </row>
    <row r="48" spans="1:18" ht="16" customHeight="1" thickTop="1" thickBot="1">
      <c r="A48" s="820"/>
      <c r="B48" s="835" t="s">
        <v>238</v>
      </c>
      <c r="C48" s="835"/>
      <c r="D48" s="867"/>
      <c r="E48" s="868">
        <f>E37+E38+E41+E45+E46+E47</f>
        <v>23305</v>
      </c>
      <c r="F48" s="843"/>
      <c r="G48" s="839">
        <f>SUM(G37+G46+G47)</f>
        <v>210</v>
      </c>
      <c r="H48" s="869"/>
      <c r="I48" s="852">
        <f>SUM(I37+I41+I46+I47)</f>
        <v>2618</v>
      </c>
      <c r="J48" s="870"/>
      <c r="K48" s="871">
        <f>SUM(K37+K38+K45+K46+K47)</f>
        <v>2660</v>
      </c>
      <c r="L48" s="869"/>
      <c r="M48" s="852">
        <f>SUM(M37+M45+M46+M47)</f>
        <v>8074</v>
      </c>
      <c r="N48" s="869"/>
      <c r="O48" s="852">
        <f>SUM(O37+O45+O46+O47)</f>
        <v>9708</v>
      </c>
      <c r="P48" s="869"/>
      <c r="Q48" s="840">
        <f>SUM(Q37+Q46+Q47)</f>
        <v>35</v>
      </c>
      <c r="R48" s="623"/>
    </row>
    <row r="49" spans="1:18" ht="16" customHeight="1" thickTop="1" thickBot="1">
      <c r="A49" s="820"/>
      <c r="B49" s="872" t="s">
        <v>320</v>
      </c>
      <c r="C49" s="803"/>
      <c r="D49" s="873"/>
      <c r="E49" s="874"/>
      <c r="F49" s="843"/>
      <c r="G49" s="409" t="s">
        <v>315</v>
      </c>
      <c r="H49" s="843"/>
      <c r="I49" s="875">
        <f>G61</f>
        <v>210</v>
      </c>
      <c r="J49" s="15" t="s">
        <v>52</v>
      </c>
      <c r="K49" s="848">
        <f>I61</f>
        <v>2560</v>
      </c>
      <c r="L49" s="843"/>
      <c r="M49" s="852">
        <f>K61</f>
        <v>3042</v>
      </c>
      <c r="N49" s="843"/>
      <c r="O49" s="852">
        <f>M61</f>
        <v>1541</v>
      </c>
      <c r="P49" s="843"/>
      <c r="Q49" s="839">
        <f>O57</f>
        <v>0</v>
      </c>
      <c r="R49" s="623"/>
    </row>
    <row r="50" spans="1:18" ht="16" customHeight="1" thickTop="1" thickBot="1">
      <c r="A50" s="876"/>
      <c r="B50" s="835" t="s">
        <v>308</v>
      </c>
      <c r="C50" s="835"/>
      <c r="D50" s="873"/>
      <c r="E50" s="874"/>
      <c r="F50" s="843"/>
      <c r="G50" s="839">
        <f>G48</f>
        <v>210</v>
      </c>
      <c r="H50" s="818"/>
      <c r="I50" s="871">
        <f>I48+I49</f>
        <v>2828</v>
      </c>
      <c r="J50" s="843"/>
      <c r="K50" s="852">
        <f>K48+K49</f>
        <v>5220</v>
      </c>
      <c r="L50" s="843"/>
      <c r="M50" s="852">
        <f>M48+M49</f>
        <v>11116</v>
      </c>
      <c r="N50" s="843"/>
      <c r="O50" s="852">
        <f>O48+O49</f>
        <v>11249</v>
      </c>
      <c r="P50" s="843"/>
      <c r="Q50" s="840">
        <f>Q48+Q49</f>
        <v>35</v>
      </c>
      <c r="R50" s="623"/>
    </row>
    <row r="51" spans="1:18" ht="16" customHeight="1" thickTop="1" thickBot="1">
      <c r="A51" s="811" t="s">
        <v>54</v>
      </c>
      <c r="B51" s="812" t="s">
        <v>149</v>
      </c>
      <c r="C51" s="813" t="s">
        <v>316</v>
      </c>
      <c r="D51" s="877"/>
      <c r="E51" s="878">
        <f>I51+K51+M51+O51</f>
        <v>383</v>
      </c>
      <c r="F51" s="879"/>
      <c r="G51" s="880" t="s">
        <v>315</v>
      </c>
      <c r="H51" s="24" t="s">
        <v>55</v>
      </c>
      <c r="I51" s="881">
        <f>I35*2/3</f>
        <v>268</v>
      </c>
      <c r="J51" s="882"/>
      <c r="K51" s="883">
        <f>ROUND(K35*2/3,0)</f>
        <v>11</v>
      </c>
      <c r="L51" s="879"/>
      <c r="M51" s="884">
        <f>ROUND(M35*2/3,0)</f>
        <v>47</v>
      </c>
      <c r="N51" s="882"/>
      <c r="O51" s="883">
        <f>ROUND(O35*2/3,0)</f>
        <v>57</v>
      </c>
      <c r="P51" s="879"/>
      <c r="Q51" s="885" t="s">
        <v>315</v>
      </c>
      <c r="R51" s="623"/>
    </row>
    <row r="52" spans="1:18" ht="16" customHeight="1" thickTop="1" thickBot="1">
      <c r="A52" s="820"/>
      <c r="B52" s="812"/>
      <c r="C52" s="821" t="s">
        <v>321</v>
      </c>
      <c r="D52" s="886"/>
      <c r="E52" s="887">
        <f t="shared" ref="E52:E53" si="1">K52+M52+O52</f>
        <v>3809</v>
      </c>
      <c r="F52" s="888"/>
      <c r="G52" s="889" t="s">
        <v>315</v>
      </c>
      <c r="H52" s="879"/>
      <c r="I52" s="880" t="s">
        <v>315</v>
      </c>
      <c r="J52" s="24" t="s">
        <v>57</v>
      </c>
      <c r="K52" s="881">
        <f>ROUND(K42*31/100*2/3,0)</f>
        <v>343</v>
      </c>
      <c r="L52" s="890"/>
      <c r="M52" s="891">
        <f>ROUND(M42*31/100*2/3,0)</f>
        <v>1524</v>
      </c>
      <c r="N52" s="24" t="s">
        <v>60</v>
      </c>
      <c r="O52" s="892">
        <f>ROUND(O42*31/100*2/3,0)</f>
        <v>1942</v>
      </c>
      <c r="P52" s="888"/>
      <c r="Q52" s="889" t="s">
        <v>315</v>
      </c>
      <c r="R52" s="623"/>
    </row>
    <row r="53" spans="1:18" ht="16" customHeight="1" thickTop="1" thickBot="1">
      <c r="A53" s="820"/>
      <c r="B53" s="812"/>
      <c r="C53" s="821" t="s">
        <v>322</v>
      </c>
      <c r="D53" s="822"/>
      <c r="E53" s="823">
        <f t="shared" si="1"/>
        <v>380</v>
      </c>
      <c r="F53" s="888"/>
      <c r="G53" s="889" t="s">
        <v>315</v>
      </c>
      <c r="H53" s="888"/>
      <c r="I53" s="889" t="s">
        <v>315</v>
      </c>
      <c r="J53" s="879"/>
      <c r="K53" s="893">
        <f>ROUND(K43*2/3,0)</f>
        <v>76</v>
      </c>
      <c r="L53" s="24" t="s">
        <v>63</v>
      </c>
      <c r="M53" s="881">
        <f>ROUND(M43*2/3,0)</f>
        <v>297</v>
      </c>
      <c r="N53" s="879"/>
      <c r="O53" s="884">
        <f>ROUND(O43*2/3,0)</f>
        <v>7</v>
      </c>
      <c r="P53" s="888"/>
      <c r="Q53" s="889" t="s">
        <v>315</v>
      </c>
      <c r="R53" s="623"/>
    </row>
    <row r="54" spans="1:18" ht="16" customHeight="1" thickTop="1" thickBot="1">
      <c r="A54" s="820"/>
      <c r="B54" s="835"/>
      <c r="C54" s="835" t="s">
        <v>157</v>
      </c>
      <c r="D54" s="850"/>
      <c r="E54" s="437">
        <f>SUM(E51:E53)</f>
        <v>4572</v>
      </c>
      <c r="F54" s="894"/>
      <c r="G54" s="452" t="s">
        <v>315</v>
      </c>
      <c r="H54" s="894"/>
      <c r="I54" s="895">
        <f>I51</f>
        <v>268</v>
      </c>
      <c r="J54" s="882"/>
      <c r="K54" s="883">
        <f>SUM(K51:K53)</f>
        <v>430</v>
      </c>
      <c r="L54" s="894"/>
      <c r="M54" s="896">
        <f>SUM(M51:M53)</f>
        <v>1868</v>
      </c>
      <c r="N54" s="897"/>
      <c r="O54" s="898">
        <f>SUM(O51:O53)</f>
        <v>2006</v>
      </c>
      <c r="P54" s="894"/>
      <c r="Q54" s="452" t="s">
        <v>315</v>
      </c>
      <c r="R54" s="623"/>
    </row>
    <row r="55" spans="1:18" ht="16" customHeight="1" thickTop="1" thickBot="1">
      <c r="A55" s="820"/>
      <c r="B55" s="812" t="s">
        <v>112</v>
      </c>
      <c r="C55" s="812"/>
      <c r="D55" s="899"/>
      <c r="E55" s="900">
        <v>18733</v>
      </c>
      <c r="F55" s="882"/>
      <c r="G55" s="461" t="s">
        <v>315</v>
      </c>
      <c r="H55" s="882"/>
      <c r="I55" s="469" t="s">
        <v>315</v>
      </c>
      <c r="J55" s="24" t="s">
        <v>68</v>
      </c>
      <c r="K55" s="892">
        <f>ROUND(E55*9.33/100,0)</f>
        <v>1748</v>
      </c>
      <c r="L55" s="882"/>
      <c r="M55" s="901">
        <f>ROUND(E55*41.14/100,0)</f>
        <v>7707</v>
      </c>
      <c r="N55" s="24" t="s">
        <v>72</v>
      </c>
      <c r="O55" s="892">
        <f>ROUND(E55*49.53/100,0)</f>
        <v>9278</v>
      </c>
      <c r="P55" s="882"/>
      <c r="Q55" s="883">
        <v>0</v>
      </c>
      <c r="R55" s="623"/>
    </row>
    <row r="56" spans="1:18" ht="16" customHeight="1" thickTop="1" thickBot="1">
      <c r="A56" s="820"/>
      <c r="B56" s="662" t="s">
        <v>238</v>
      </c>
      <c r="C56" s="662"/>
      <c r="D56" s="867"/>
      <c r="E56" s="868">
        <f>E54+E55</f>
        <v>23305</v>
      </c>
      <c r="F56" s="902"/>
      <c r="G56" s="903" t="s">
        <v>315</v>
      </c>
      <c r="H56" s="904"/>
      <c r="I56" s="905">
        <f>I54</f>
        <v>268</v>
      </c>
      <c r="J56" s="894"/>
      <c r="K56" s="906">
        <f>SUM(K54+K55)</f>
        <v>2178</v>
      </c>
      <c r="L56" s="24" t="s">
        <v>74</v>
      </c>
      <c r="M56" s="892">
        <f>M54+M55</f>
        <v>9575</v>
      </c>
      <c r="N56" s="907"/>
      <c r="O56" s="896">
        <f>O54+O55</f>
        <v>11284</v>
      </c>
      <c r="P56" s="902"/>
      <c r="Q56" s="908">
        <v>0</v>
      </c>
      <c r="R56" s="623"/>
    </row>
    <row r="57" spans="1:18" ht="16" customHeight="1" thickTop="1" thickBot="1">
      <c r="A57" s="820"/>
      <c r="B57" s="835" t="s">
        <v>111</v>
      </c>
      <c r="C57" s="835"/>
      <c r="D57" s="873"/>
      <c r="E57" s="874"/>
      <c r="F57" s="894"/>
      <c r="G57" s="909">
        <f>G50-0</f>
        <v>210</v>
      </c>
      <c r="H57" s="24" t="s">
        <v>323</v>
      </c>
      <c r="I57" s="910">
        <f>I50-I56</f>
        <v>2560</v>
      </c>
      <c r="J57" s="894"/>
      <c r="K57" s="896">
        <f>K50-K56</f>
        <v>3042</v>
      </c>
      <c r="L57" s="894"/>
      <c r="M57" s="896">
        <f>M50-M56</f>
        <v>1541</v>
      </c>
      <c r="N57" s="902"/>
      <c r="O57" s="908">
        <v>0</v>
      </c>
      <c r="P57" s="882"/>
      <c r="Q57" s="911">
        <v>0</v>
      </c>
      <c r="R57" s="623"/>
    </row>
    <row r="58" spans="1:18" ht="16" customHeight="1" thickTop="1" thickBot="1">
      <c r="A58" s="820"/>
      <c r="B58" s="835" t="s">
        <v>110</v>
      </c>
      <c r="C58" s="835"/>
      <c r="D58" s="873"/>
      <c r="E58" s="874"/>
      <c r="F58" s="894"/>
      <c r="G58" s="912">
        <v>0</v>
      </c>
      <c r="H58" s="882"/>
      <c r="I58" s="913">
        <v>0</v>
      </c>
      <c r="J58" s="894"/>
      <c r="K58" s="912">
        <v>0</v>
      </c>
      <c r="L58" s="894"/>
      <c r="M58" s="912">
        <v>0</v>
      </c>
      <c r="N58" s="894"/>
      <c r="O58" s="914">
        <v>0</v>
      </c>
      <c r="P58" s="24" t="s">
        <v>324</v>
      </c>
      <c r="Q58" s="892">
        <f>O60</f>
        <v>35</v>
      </c>
      <c r="R58" s="623"/>
    </row>
    <row r="59" spans="1:18" ht="16" customHeight="1" thickTop="1" thickBot="1">
      <c r="A59" s="876"/>
      <c r="B59" s="835" t="s">
        <v>325</v>
      </c>
      <c r="C59" s="835"/>
      <c r="D59" s="873"/>
      <c r="E59" s="874"/>
      <c r="F59" s="894"/>
      <c r="G59" s="909">
        <f>G57</f>
        <v>210</v>
      </c>
      <c r="H59" s="24" t="s">
        <v>326</v>
      </c>
      <c r="I59" s="892">
        <f>I56+I57</f>
        <v>2828</v>
      </c>
      <c r="J59" s="894"/>
      <c r="K59" s="896">
        <f>SUM(K56:K58)</f>
        <v>5220</v>
      </c>
      <c r="L59" s="894"/>
      <c r="M59" s="896">
        <f>M56+M57-M58</f>
        <v>11116</v>
      </c>
      <c r="N59" s="894"/>
      <c r="O59" s="896">
        <f>SUM(O56:O58)</f>
        <v>11284</v>
      </c>
      <c r="P59" s="894"/>
      <c r="Q59" s="896">
        <f>SUM(Q56:Q58)</f>
        <v>35</v>
      </c>
      <c r="R59" s="623"/>
    </row>
    <row r="60" spans="1:18" ht="16" customHeight="1" thickTop="1" thickBot="1">
      <c r="A60" s="915" t="s">
        <v>116</v>
      </c>
      <c r="B60" s="916"/>
      <c r="C60" s="835"/>
      <c r="D60" s="873"/>
      <c r="E60" s="874"/>
      <c r="F60" s="894"/>
      <c r="G60" s="917">
        <v>0</v>
      </c>
      <c r="H60" s="894"/>
      <c r="I60" s="917">
        <f>G57-I49</f>
        <v>0</v>
      </c>
      <c r="J60" s="918"/>
      <c r="K60" s="919">
        <f>I57-K49</f>
        <v>0</v>
      </c>
      <c r="L60" s="920"/>
      <c r="M60" s="921">
        <f>K57-M49</f>
        <v>0</v>
      </c>
      <c r="N60" s="918"/>
      <c r="O60" s="922">
        <f>O59-O50</f>
        <v>35</v>
      </c>
      <c r="P60" s="882"/>
      <c r="Q60" s="923">
        <v>0</v>
      </c>
      <c r="R60" s="623"/>
    </row>
    <row r="61" spans="1:18" ht="16" customHeight="1" thickTop="1" thickBot="1">
      <c r="A61" s="924" t="s">
        <v>327</v>
      </c>
      <c r="B61" s="803"/>
      <c r="C61" s="835"/>
      <c r="D61" s="873"/>
      <c r="E61" s="874"/>
      <c r="F61" s="894"/>
      <c r="G61" s="909">
        <f>G57</f>
        <v>210</v>
      </c>
      <c r="H61" s="925"/>
      <c r="I61" s="926">
        <f>I57</f>
        <v>2560</v>
      </c>
      <c r="J61" s="927"/>
      <c r="K61" s="928">
        <f>K57</f>
        <v>3042</v>
      </c>
      <c r="L61" s="929" t="s">
        <v>328</v>
      </c>
      <c r="M61" s="892">
        <f>M57</f>
        <v>1541</v>
      </c>
      <c r="N61" s="930"/>
      <c r="O61" s="931">
        <f>O57</f>
        <v>0</v>
      </c>
      <c r="P61" s="927"/>
      <c r="Q61" s="932">
        <f>Q57</f>
        <v>0</v>
      </c>
      <c r="R61" s="623"/>
    </row>
    <row r="62" spans="1:18" ht="16" customHeight="1" thickTop="1" thickBot="1">
      <c r="A62" s="933"/>
      <c r="B62" s="812"/>
      <c r="C62" s="812"/>
      <c r="D62" s="812"/>
      <c r="E62" s="812"/>
      <c r="F62" s="812"/>
      <c r="G62" s="812"/>
      <c r="H62" s="812"/>
      <c r="I62" s="812"/>
      <c r="J62" s="812"/>
      <c r="K62" s="812"/>
      <c r="L62" s="812"/>
      <c r="M62" s="812"/>
      <c r="N62" s="812"/>
      <c r="O62" s="812"/>
      <c r="P62" s="812"/>
      <c r="Q62" s="812"/>
      <c r="R62" s="623"/>
    </row>
    <row r="63" spans="1:18" ht="16" customHeight="1" thickTop="1" thickBot="1">
      <c r="A63" s="915" t="s">
        <v>329</v>
      </c>
      <c r="B63" s="916"/>
      <c r="C63" s="662"/>
      <c r="D63" s="662"/>
      <c r="E63" s="662"/>
      <c r="F63" s="3" t="s">
        <v>330</v>
      </c>
      <c r="G63" s="934">
        <f>(4840+960-1644)+(K55+M55+O55)</f>
        <v>22889</v>
      </c>
      <c r="H63" s="935" t="s">
        <v>331</v>
      </c>
      <c r="I63" s="936"/>
      <c r="J63" s="812"/>
      <c r="K63" s="812"/>
      <c r="L63" s="812"/>
      <c r="M63" s="812"/>
      <c r="N63" s="812"/>
      <c r="O63" s="812"/>
      <c r="P63" s="812"/>
      <c r="Q63" s="812"/>
      <c r="R63" s="623"/>
    </row>
    <row r="64" spans="1:18" ht="16" customHeight="1" thickTop="1">
      <c r="A64" s="933"/>
      <c r="B64" s="937"/>
      <c r="C64" s="937"/>
      <c r="D64" s="937"/>
      <c r="E64" s="937"/>
      <c r="F64" s="937"/>
      <c r="G64" s="937"/>
      <c r="H64" s="937"/>
      <c r="I64" s="937"/>
      <c r="J64" s="937"/>
      <c r="K64" s="937"/>
      <c r="L64" s="937"/>
      <c r="M64" s="937"/>
      <c r="N64" s="937"/>
      <c r="O64" s="937"/>
      <c r="P64" s="937"/>
      <c r="Q64" s="937"/>
      <c r="R64" s="623"/>
    </row>
    <row r="65" spans="1:18" ht="16" customHeight="1">
      <c r="A65" s="93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6" customHeight="1">
      <c r="A66" s="938"/>
      <c r="B66" s="939" t="s">
        <v>286</v>
      </c>
      <c r="C66" s="939" t="s">
        <v>332</v>
      </c>
      <c r="D66" s="11"/>
      <c r="E66" s="11"/>
      <c r="F66" s="775" t="s">
        <v>77</v>
      </c>
      <c r="G66" s="774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6" customHeight="1">
      <c r="A67" s="938"/>
      <c r="B67" s="757">
        <v>10000</v>
      </c>
      <c r="C67" s="510">
        <v>3.44</v>
      </c>
      <c r="D67" s="11"/>
      <c r="E67" s="11"/>
      <c r="F67" s="777" t="s">
        <v>78</v>
      </c>
      <c r="G67" s="77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16" customHeight="1">
      <c r="A68" s="938"/>
      <c r="D68" s="11"/>
      <c r="E68" s="11"/>
      <c r="F68" s="940" t="s">
        <v>79</v>
      </c>
      <c r="G68" s="941" t="s">
        <v>102</v>
      </c>
      <c r="H68" s="940" t="s">
        <v>79</v>
      </c>
      <c r="I68" s="941" t="s">
        <v>103</v>
      </c>
      <c r="J68" s="940" t="s">
        <v>79</v>
      </c>
      <c r="K68" s="941" t="s">
        <v>104</v>
      </c>
      <c r="L68" s="940" t="s">
        <v>79</v>
      </c>
      <c r="M68" s="941" t="s">
        <v>105</v>
      </c>
      <c r="N68" s="940" t="s">
        <v>79</v>
      </c>
      <c r="O68" s="941" t="s">
        <v>106</v>
      </c>
      <c r="P68" s="940" t="s">
        <v>79</v>
      </c>
      <c r="Q68" s="941" t="s">
        <v>107</v>
      </c>
      <c r="R68" s="11"/>
    </row>
    <row r="69" spans="1:18" ht="16" customHeight="1">
      <c r="A69" s="938"/>
      <c r="B69" s="757">
        <v>19000</v>
      </c>
      <c r="C69" s="760" t="s">
        <v>288</v>
      </c>
      <c r="D69" s="11"/>
      <c r="E69" s="11"/>
      <c r="F69" s="942">
        <v>1</v>
      </c>
      <c r="G69" s="943" t="s">
        <v>111</v>
      </c>
      <c r="H69" s="942">
        <v>1</v>
      </c>
      <c r="I69" s="943" t="s">
        <v>297</v>
      </c>
      <c r="J69" s="942">
        <v>1</v>
      </c>
      <c r="K69" s="943" t="s">
        <v>297</v>
      </c>
      <c r="L69" s="942">
        <v>1</v>
      </c>
      <c r="M69" s="943" t="s">
        <v>297</v>
      </c>
      <c r="N69" s="942">
        <v>1</v>
      </c>
      <c r="O69" s="943" t="s">
        <v>297</v>
      </c>
      <c r="P69" s="942">
        <v>1</v>
      </c>
      <c r="Q69" s="943" t="s">
        <v>112</v>
      </c>
      <c r="R69" s="11"/>
    </row>
    <row r="70" spans="1:18" ht="16" customHeight="1">
      <c r="A70" s="938"/>
      <c r="D70" s="11"/>
      <c r="E70" s="11"/>
      <c r="F70" s="944"/>
      <c r="G70" s="945">
        <f>G57</f>
        <v>210</v>
      </c>
      <c r="H70" s="944"/>
      <c r="I70" s="945">
        <f>I51</f>
        <v>268</v>
      </c>
      <c r="J70" s="944"/>
      <c r="K70" s="945">
        <f>K51</f>
        <v>11</v>
      </c>
      <c r="L70" s="944"/>
      <c r="M70" s="945">
        <f>M51</f>
        <v>47</v>
      </c>
      <c r="N70" s="944"/>
      <c r="O70" s="945">
        <f>O51</f>
        <v>57</v>
      </c>
      <c r="P70" s="944"/>
      <c r="Q70" s="945">
        <f>Q55</f>
        <v>0</v>
      </c>
      <c r="R70" s="11"/>
    </row>
    <row r="71" spans="1:18" ht="16" customHeight="1">
      <c r="A71" s="938"/>
      <c r="B71" s="757">
        <v>25000</v>
      </c>
      <c r="C71" s="510">
        <v>2.74</v>
      </c>
      <c r="D71" s="11"/>
      <c r="E71" s="11"/>
      <c r="F71" s="946">
        <v>2</v>
      </c>
      <c r="G71" s="947" t="s">
        <v>110</v>
      </c>
      <c r="H71" s="942">
        <v>2</v>
      </c>
      <c r="I71" s="943" t="s">
        <v>111</v>
      </c>
      <c r="J71" s="942">
        <v>2</v>
      </c>
      <c r="K71" s="943" t="s">
        <v>333</v>
      </c>
      <c r="L71" s="942">
        <v>2</v>
      </c>
      <c r="M71" s="943" t="s">
        <v>333</v>
      </c>
      <c r="N71" s="942">
        <v>2</v>
      </c>
      <c r="O71" s="943" t="s">
        <v>333</v>
      </c>
      <c r="P71" s="942">
        <v>2</v>
      </c>
      <c r="Q71" s="943" t="s">
        <v>111</v>
      </c>
      <c r="R71" s="11"/>
    </row>
    <row r="72" spans="1:18" ht="16" customHeight="1">
      <c r="A72" s="938"/>
      <c r="D72" s="11"/>
      <c r="E72" s="11"/>
      <c r="F72" s="948"/>
      <c r="G72" s="949">
        <f>G58</f>
        <v>0</v>
      </c>
      <c r="H72" s="950"/>
      <c r="I72" s="945">
        <f>I57</f>
        <v>2560</v>
      </c>
      <c r="J72" s="950"/>
      <c r="K72" s="945">
        <f>K52</f>
        <v>343</v>
      </c>
      <c r="L72" s="950"/>
      <c r="M72" s="945">
        <f>M52</f>
        <v>1524</v>
      </c>
      <c r="N72" s="950"/>
      <c r="O72" s="945">
        <f>O52</f>
        <v>1942</v>
      </c>
      <c r="P72" s="950"/>
      <c r="Q72" s="945">
        <f>Q57</f>
        <v>0</v>
      </c>
      <c r="R72" s="11"/>
    </row>
    <row r="73" spans="1:18" ht="16" customHeight="1">
      <c r="A73" s="938"/>
      <c r="D73" s="11"/>
      <c r="E73" s="11"/>
      <c r="F73" s="944">
        <v>3</v>
      </c>
      <c r="G73" s="951" t="s">
        <v>325</v>
      </c>
      <c r="H73" s="952">
        <v>3</v>
      </c>
      <c r="I73" s="953" t="s">
        <v>110</v>
      </c>
      <c r="J73" s="944">
        <v>3</v>
      </c>
      <c r="K73" s="951" t="s">
        <v>334</v>
      </c>
      <c r="L73" s="944">
        <v>3</v>
      </c>
      <c r="M73" s="951" t="s">
        <v>334</v>
      </c>
      <c r="N73" s="944">
        <v>3</v>
      </c>
      <c r="O73" s="951" t="s">
        <v>334</v>
      </c>
      <c r="P73" s="944">
        <v>3</v>
      </c>
      <c r="Q73" s="951" t="s">
        <v>110</v>
      </c>
      <c r="R73" s="11"/>
    </row>
    <row r="74" spans="1:18" ht="16" customHeight="1">
      <c r="A74" s="938"/>
      <c r="B74" s="766" t="s">
        <v>290</v>
      </c>
      <c r="C74" s="510">
        <f>(C67-C71)</f>
        <v>0.69999999999999973</v>
      </c>
      <c r="D74" s="11"/>
      <c r="E74" s="11"/>
      <c r="F74" s="944"/>
      <c r="G74" s="954">
        <f>G59</f>
        <v>210</v>
      </c>
      <c r="H74" s="952"/>
      <c r="I74" s="955">
        <f>I58</f>
        <v>0</v>
      </c>
      <c r="J74" s="944"/>
      <c r="K74" s="954">
        <f>K53</f>
        <v>76</v>
      </c>
      <c r="L74" s="944"/>
      <c r="M74" s="954">
        <f>M53</f>
        <v>297</v>
      </c>
      <c r="N74" s="944"/>
      <c r="O74" s="954">
        <f>O53</f>
        <v>7</v>
      </c>
      <c r="P74" s="944"/>
      <c r="Q74" s="956">
        <f>Q58</f>
        <v>35</v>
      </c>
      <c r="R74" s="11"/>
    </row>
    <row r="75" spans="1:18" ht="16" customHeight="1">
      <c r="A75" s="938"/>
      <c r="B75" s="755" t="s">
        <v>291</v>
      </c>
      <c r="C75" s="767">
        <f>B71-B67</f>
        <v>15000</v>
      </c>
      <c r="D75" s="11"/>
      <c r="E75" s="11"/>
      <c r="F75" s="946">
        <v>4</v>
      </c>
      <c r="G75" s="947" t="s">
        <v>116</v>
      </c>
      <c r="H75" s="942">
        <v>4</v>
      </c>
      <c r="I75" s="943" t="s">
        <v>325</v>
      </c>
      <c r="J75" s="942">
        <v>4</v>
      </c>
      <c r="K75" s="943" t="s">
        <v>112</v>
      </c>
      <c r="L75" s="942">
        <v>4</v>
      </c>
      <c r="M75" s="943" t="s">
        <v>112</v>
      </c>
      <c r="N75" s="942">
        <v>4</v>
      </c>
      <c r="O75" s="943" t="s">
        <v>112</v>
      </c>
      <c r="P75" s="942">
        <v>4</v>
      </c>
      <c r="Q75" s="943" t="s">
        <v>325</v>
      </c>
      <c r="R75" s="11"/>
    </row>
    <row r="76" spans="1:18" ht="16" customHeight="1">
      <c r="A76" s="938"/>
      <c r="B76" s="755" t="s">
        <v>335</v>
      </c>
      <c r="C76" s="767">
        <f>B69-B67</f>
        <v>9000</v>
      </c>
      <c r="D76" s="11"/>
      <c r="E76" s="11"/>
      <c r="F76" s="948"/>
      <c r="G76" s="949">
        <f>G60</f>
        <v>0</v>
      </c>
      <c r="H76" s="950"/>
      <c r="I76" s="945">
        <f>I59</f>
        <v>2828</v>
      </c>
      <c r="J76" s="950"/>
      <c r="K76" s="945">
        <f>K55</f>
        <v>1748</v>
      </c>
      <c r="L76" s="950"/>
      <c r="M76" s="945">
        <f>M55</f>
        <v>7707</v>
      </c>
      <c r="N76" s="950"/>
      <c r="O76" s="945">
        <f>O55</f>
        <v>9278</v>
      </c>
      <c r="P76" s="950"/>
      <c r="Q76" s="945">
        <f>Q59</f>
        <v>35</v>
      </c>
      <c r="R76" s="11"/>
    </row>
    <row r="77" spans="1:18" ht="16" customHeight="1">
      <c r="A77" s="938"/>
      <c r="D77" s="11"/>
      <c r="E77" s="11"/>
      <c r="F77" s="942">
        <v>5</v>
      </c>
      <c r="G77" s="951" t="s">
        <v>327</v>
      </c>
      <c r="H77" s="946">
        <v>5</v>
      </c>
      <c r="I77" s="947" t="s">
        <v>116</v>
      </c>
      <c r="J77" s="942">
        <v>5</v>
      </c>
      <c r="K77" s="943" t="s">
        <v>111</v>
      </c>
      <c r="L77" s="942">
        <v>5</v>
      </c>
      <c r="M77" s="943" t="s">
        <v>111</v>
      </c>
      <c r="N77" s="942">
        <v>5</v>
      </c>
      <c r="O77" s="943" t="s">
        <v>111</v>
      </c>
      <c r="P77" s="946">
        <v>5</v>
      </c>
      <c r="Q77" s="947" t="s">
        <v>116</v>
      </c>
      <c r="R77" s="11"/>
    </row>
    <row r="78" spans="1:18" ht="16" customHeight="1">
      <c r="A78" s="938"/>
      <c r="B78" s="755" t="s">
        <v>293</v>
      </c>
      <c r="C78" s="770">
        <f>ROUNDDOWN(C74*C76/C75,3)</f>
        <v>0.42</v>
      </c>
      <c r="D78" s="11"/>
      <c r="E78" s="11"/>
      <c r="F78" s="950"/>
      <c r="G78" s="956">
        <f>G61</f>
        <v>210</v>
      </c>
      <c r="H78" s="948"/>
      <c r="I78" s="949">
        <f>I60</f>
        <v>0</v>
      </c>
      <c r="J78" s="950"/>
      <c r="K78" s="945">
        <f>K57</f>
        <v>3042</v>
      </c>
      <c r="L78" s="950"/>
      <c r="M78" s="945">
        <f>M57</f>
        <v>1541</v>
      </c>
      <c r="N78" s="950"/>
      <c r="O78" s="945">
        <f>O57</f>
        <v>0</v>
      </c>
      <c r="P78" s="948"/>
      <c r="Q78" s="949">
        <f>Q60</f>
        <v>0</v>
      </c>
      <c r="R78" s="11"/>
    </row>
    <row r="79" spans="1:18" ht="16" customHeight="1">
      <c r="A79" s="938"/>
      <c r="B79" s="755" t="s">
        <v>294</v>
      </c>
      <c r="C79" s="957">
        <f>C67-C78</f>
        <v>3.02</v>
      </c>
      <c r="D79" s="11"/>
      <c r="E79" s="11"/>
      <c r="F79" s="11"/>
      <c r="G79" s="11"/>
      <c r="H79" s="942">
        <v>6</v>
      </c>
      <c r="I79" s="951" t="s">
        <v>327</v>
      </c>
      <c r="J79" s="946">
        <v>6</v>
      </c>
      <c r="K79" s="953" t="s">
        <v>110</v>
      </c>
      <c r="L79" s="946">
        <v>6</v>
      </c>
      <c r="M79" s="953" t="s">
        <v>110</v>
      </c>
      <c r="N79" s="946">
        <v>6</v>
      </c>
      <c r="O79" s="953" t="s">
        <v>110</v>
      </c>
      <c r="P79" s="942">
        <v>6</v>
      </c>
      <c r="Q79" s="951" t="s">
        <v>327</v>
      </c>
      <c r="R79" s="11"/>
    </row>
    <row r="80" spans="1:18" ht="16" customHeight="1">
      <c r="A80" s="938"/>
      <c r="D80" s="11"/>
      <c r="E80" s="11"/>
      <c r="F80" s="11"/>
      <c r="G80" s="11"/>
      <c r="H80" s="950"/>
      <c r="I80" s="956">
        <f>I61</f>
        <v>2560</v>
      </c>
      <c r="J80" s="948"/>
      <c r="K80" s="958">
        <f>K58</f>
        <v>0</v>
      </c>
      <c r="L80" s="948"/>
      <c r="M80" s="958">
        <f>M58</f>
        <v>0</v>
      </c>
      <c r="N80" s="948"/>
      <c r="O80" s="958">
        <f>O58</f>
        <v>0</v>
      </c>
      <c r="P80" s="952"/>
      <c r="Q80" s="954">
        <f>Q61</f>
        <v>0</v>
      </c>
      <c r="R80" s="11"/>
    </row>
    <row r="81" spans="1:18" ht="16" customHeight="1">
      <c r="A81" s="938"/>
      <c r="C81" s="767">
        <f>B71-B69</f>
        <v>6000</v>
      </c>
      <c r="D81" s="11"/>
      <c r="E81" s="11"/>
      <c r="F81" s="11"/>
      <c r="G81" s="11"/>
      <c r="H81" s="11"/>
      <c r="I81" s="11"/>
      <c r="J81" s="942">
        <v>7</v>
      </c>
      <c r="K81" s="943" t="s">
        <v>325</v>
      </c>
      <c r="L81" s="942">
        <v>7</v>
      </c>
      <c r="M81" s="943" t="s">
        <v>325</v>
      </c>
      <c r="N81" s="942">
        <v>7</v>
      </c>
      <c r="O81" s="959" t="s">
        <v>325</v>
      </c>
      <c r="P81" s="960"/>
      <c r="Q81" s="961"/>
      <c r="R81" s="11"/>
    </row>
    <row r="82" spans="1:18" ht="16" customHeight="1">
      <c r="A82" s="938"/>
      <c r="C82" s="772">
        <f>C74*C81/C75</f>
        <v>0.27999999999999986</v>
      </c>
      <c r="D82" s="11"/>
      <c r="E82" s="11"/>
      <c r="F82" s="11"/>
      <c r="G82" s="11"/>
      <c r="H82" s="11"/>
      <c r="I82" s="11"/>
      <c r="J82" s="950"/>
      <c r="K82" s="945">
        <f>K59</f>
        <v>5220</v>
      </c>
      <c r="L82" s="950"/>
      <c r="M82" s="945">
        <f>M59</f>
        <v>11116</v>
      </c>
      <c r="N82" s="950"/>
      <c r="O82" s="962">
        <f>O59</f>
        <v>11284</v>
      </c>
      <c r="P82" s="963"/>
      <c r="Q82" s="964"/>
      <c r="R82" s="11"/>
    </row>
    <row r="83" spans="1:18" ht="16" customHeight="1">
      <c r="A83" s="938"/>
      <c r="C83" s="965">
        <f>C71+C82</f>
        <v>3.02</v>
      </c>
      <c r="D83" s="11"/>
      <c r="E83" s="11"/>
      <c r="F83" s="11"/>
      <c r="G83" s="11"/>
      <c r="H83" s="11"/>
      <c r="I83" s="11"/>
      <c r="J83" s="946">
        <v>8</v>
      </c>
      <c r="K83" s="947" t="s">
        <v>116</v>
      </c>
      <c r="L83" s="946">
        <v>8</v>
      </c>
      <c r="M83" s="947" t="s">
        <v>116</v>
      </c>
      <c r="N83" s="966">
        <v>8</v>
      </c>
      <c r="O83" s="967" t="s">
        <v>116</v>
      </c>
      <c r="P83" s="963"/>
      <c r="Q83" s="968"/>
      <c r="R83" s="11"/>
    </row>
    <row r="84" spans="1:18" ht="16" customHeight="1">
      <c r="A84" s="938"/>
      <c r="B84" s="11"/>
      <c r="C84" s="11"/>
      <c r="D84" s="11"/>
      <c r="E84" s="11"/>
      <c r="F84" s="11"/>
      <c r="G84" s="11"/>
      <c r="H84" s="11"/>
      <c r="I84" s="11"/>
      <c r="J84" s="948"/>
      <c r="K84" s="949">
        <f>K60</f>
        <v>0</v>
      </c>
      <c r="L84" s="948"/>
      <c r="M84" s="949">
        <f>M60</f>
        <v>0</v>
      </c>
      <c r="N84" s="969"/>
      <c r="O84" s="970">
        <f>O60</f>
        <v>35</v>
      </c>
      <c r="P84" s="963"/>
      <c r="Q84" s="964"/>
      <c r="R84" s="11"/>
    </row>
    <row r="85" spans="1:18" ht="16" customHeight="1">
      <c r="A85" s="938"/>
      <c r="B85" s="11"/>
      <c r="C85" s="11"/>
      <c r="D85" s="11"/>
      <c r="E85" s="11"/>
      <c r="F85" s="11"/>
      <c r="G85" s="11"/>
      <c r="H85" s="11"/>
      <c r="I85" s="11"/>
      <c r="J85" s="942">
        <v>9</v>
      </c>
      <c r="K85" s="951" t="s">
        <v>327</v>
      </c>
      <c r="L85" s="942">
        <v>9</v>
      </c>
      <c r="M85" s="951" t="s">
        <v>327</v>
      </c>
      <c r="N85" s="942">
        <v>9</v>
      </c>
      <c r="O85" s="971" t="s">
        <v>327</v>
      </c>
      <c r="P85" s="963"/>
      <c r="Q85" s="968"/>
      <c r="R85" s="11"/>
    </row>
    <row r="86" spans="1:18" ht="16" customHeight="1">
      <c r="A86" s="938"/>
      <c r="B86" s="11"/>
      <c r="C86" s="11"/>
      <c r="D86" s="11"/>
      <c r="E86" s="11"/>
      <c r="F86" s="11"/>
      <c r="G86" s="11"/>
      <c r="H86" s="11"/>
      <c r="I86" s="11"/>
      <c r="J86" s="950"/>
      <c r="K86" s="956">
        <f>K61</f>
        <v>3042</v>
      </c>
      <c r="L86" s="950"/>
      <c r="M86" s="956">
        <f>M61</f>
        <v>1541</v>
      </c>
      <c r="N86" s="950"/>
      <c r="O86" s="972">
        <f>O61</f>
        <v>0</v>
      </c>
      <c r="P86" s="963"/>
      <c r="Q86" s="964"/>
      <c r="R86" s="11"/>
    </row>
    <row r="87" spans="1:18" ht="16" customHeight="1">
      <c r="A87" s="938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>
      <c r="A88" s="938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>
      <c r="A89" s="938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>
      <c r="A90" s="938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>
      <c r="A91" s="938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>
      <c r="A92" s="938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>
      <c r="A93" s="938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>
      <c r="A94" s="938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>
      <c r="A95" s="938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</sheetData>
  <mergeCells count="21">
    <mergeCell ref="A61:B61"/>
    <mergeCell ref="A63:B63"/>
    <mergeCell ref="H63:I63"/>
    <mergeCell ref="F66:G66"/>
    <mergeCell ref="F67:G67"/>
    <mergeCell ref="N33:O33"/>
    <mergeCell ref="P33:Q33"/>
    <mergeCell ref="A34:A50"/>
    <mergeCell ref="B49:C49"/>
    <mergeCell ref="A51:A59"/>
    <mergeCell ref="A60:B60"/>
    <mergeCell ref="A1:C1"/>
    <mergeCell ref="F2:G2"/>
    <mergeCell ref="F3:G3"/>
    <mergeCell ref="B32:C32"/>
    <mergeCell ref="N32:Q32"/>
    <mergeCell ref="A33:C33"/>
    <mergeCell ref="F33:G33"/>
    <mergeCell ref="H33:I33"/>
    <mergeCell ref="J33:K33"/>
    <mergeCell ref="L33:M33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H24No.2手順</vt:lpstr>
      <vt:lpstr>H26No.2手順</vt:lpstr>
      <vt:lpstr>H27No.1手順</vt:lpstr>
      <vt:lpstr>H28NO.1手順</vt:lpstr>
      <vt:lpstr>H29No.1手順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</dc:creator>
  <cp:lastModifiedBy>Microsoft Office User</cp:lastModifiedBy>
  <dcterms:created xsi:type="dcterms:W3CDTF">2021-02-08T06:53:51Z</dcterms:created>
  <dcterms:modified xsi:type="dcterms:W3CDTF">2021-07-30T12:16:10Z</dcterms:modified>
</cp:coreProperties>
</file>